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Schrock\Desktop\"/>
    </mc:Choice>
  </mc:AlternateContent>
  <xr:revisionPtr revIDLastSave="0" documentId="8_{C1E7F80A-D476-4742-AFE8-301D21A689CF}" xr6:coauthVersionLast="44" xr6:coauthVersionMax="44" xr10:uidLastSave="{00000000-0000-0000-0000-000000000000}"/>
  <bookViews>
    <workbookView xWindow="28680" yWindow="-120" windowWidth="29040" windowHeight="15840" xr2:uid="{647D34D8-21CF-4F7F-8406-421209E97AB9}"/>
  </bookViews>
  <sheets>
    <sheet name="change in total FTE" sheetId="12" r:id="rId1"/>
    <sheet name="20-21 UG Grant -5+10 R1 2%" sheetId="8" r:id="rId2"/>
    <sheet name="20-21 UG Grant -3+10 R1 2%" sheetId="4" r:id="rId3"/>
    <sheet name="20-21 UG Grant -1+15 R1 2%" sheetId="9" r:id="rId4"/>
    <sheet name="20-21 UG Grant -5+10 R1 5%" sheetId="11" r:id="rId5"/>
    <sheet name="20-21 UG Grant -3+10 R1 5%" sheetId="13" r:id="rId6"/>
    <sheet name="20-21 UG Grant -1+10 R1 5%" sheetId="16" r:id="rId7"/>
    <sheet name="20-21 UG Grant -5+12 R1 7%" sheetId="14" r:id="rId8"/>
    <sheet name="20-21 UG Grant -3+12 R1 7%" sheetId="15" r:id="rId9"/>
    <sheet name="20-21 UG Grant -1+12 R1 7%" sheetId="10" r:id="rId10"/>
  </sheets>
  <definedNames>
    <definedName name="_xlnm.Print_Area" localSheetId="6">'20-21 UG Grant -1+10 R1 5%'!$A$1:$Q$56</definedName>
    <definedName name="_xlnm.Print_Area" localSheetId="9">'20-21 UG Grant -1+12 R1 7%'!$A$1:$Q$56</definedName>
    <definedName name="_xlnm.Print_Area" localSheetId="3">'20-21 UG Grant -1+15 R1 2%'!$A$1:$Q$56</definedName>
    <definedName name="_xlnm.Print_Area" localSheetId="2">'20-21 UG Grant -3+10 R1 2%'!$A$1:$Q$56</definedName>
    <definedName name="_xlnm.Print_Area" localSheetId="5">'20-21 UG Grant -3+10 R1 5%'!$A$1:$Q$56</definedName>
    <definedName name="_xlnm.Print_Area" localSheetId="8">'20-21 UG Grant -3+12 R1 7%'!$A$1:$Q$56</definedName>
    <definedName name="_xlnm.Print_Area" localSheetId="1">'20-21 UG Grant -5+10 R1 2%'!$A$1:$Q$56</definedName>
    <definedName name="_xlnm.Print_Area" localSheetId="4">'20-21 UG Grant -5+10 R1 5%'!$A$1:$Q$56</definedName>
    <definedName name="_xlnm.Print_Area" localSheetId="7">'20-21 UG Grant -5+12 R1 7%'!$A$1:$Q$56</definedName>
    <definedName name="_xlnm.Print_Area" localSheetId="0">'change in total FTE'!$B$2:$T$49</definedName>
    <definedName name="_xlnm.Print_Titles" localSheetId="0">'change in total FTE'!$B:$B,'change in total FTE'!$2:$4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4" l="1"/>
  <c r="P2" i="9"/>
  <c r="P2" i="11"/>
  <c r="P2" i="13"/>
  <c r="P2" i="16"/>
  <c r="P2" i="10"/>
  <c r="P2" i="15"/>
  <c r="P2" i="14"/>
  <c r="P2" i="8"/>
  <c r="T6" i="12"/>
  <c r="T7" i="12"/>
  <c r="O7" i="12"/>
  <c r="O16" i="16" l="1"/>
  <c r="O17" i="16"/>
  <c r="O31" i="16"/>
  <c r="O32" i="16"/>
  <c r="O35" i="16"/>
  <c r="O36" i="16"/>
  <c r="O42" i="16"/>
  <c r="O43" i="16"/>
  <c r="C51" i="16"/>
  <c r="E46" i="16" s="1"/>
  <c r="L47" i="16"/>
  <c r="J47" i="16"/>
  <c r="H47" i="16"/>
  <c r="F47" i="16"/>
  <c r="D47" i="16"/>
  <c r="B47" i="16"/>
  <c r="C46" i="16"/>
  <c r="C45" i="16"/>
  <c r="C44" i="16"/>
  <c r="K41" i="16"/>
  <c r="C41" i="16"/>
  <c r="K40" i="16"/>
  <c r="C40" i="16"/>
  <c r="C39" i="16"/>
  <c r="C38" i="16"/>
  <c r="K37" i="16"/>
  <c r="C37" i="16"/>
  <c r="K34" i="16"/>
  <c r="C34" i="16"/>
  <c r="C33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K15" i="16"/>
  <c r="C15" i="16"/>
  <c r="K14" i="16"/>
  <c r="C14" i="16"/>
  <c r="K13" i="16"/>
  <c r="C13" i="16"/>
  <c r="K12" i="16"/>
  <c r="C12" i="16"/>
  <c r="K11" i="16"/>
  <c r="C11" i="16"/>
  <c r="K10" i="16"/>
  <c r="C10" i="16"/>
  <c r="K9" i="16"/>
  <c r="C9" i="16"/>
  <c r="K8" i="16"/>
  <c r="C8" i="16"/>
  <c r="K7" i="16"/>
  <c r="C7" i="16"/>
  <c r="K6" i="16"/>
  <c r="C6" i="16"/>
  <c r="K5" i="16"/>
  <c r="C5" i="16"/>
  <c r="K4" i="16"/>
  <c r="C4" i="16"/>
  <c r="E7" i="16" l="1"/>
  <c r="E15" i="16"/>
  <c r="E21" i="16"/>
  <c r="E13" i="16"/>
  <c r="E8" i="16"/>
  <c r="E18" i="16"/>
  <c r="E22" i="16"/>
  <c r="M22" i="16" s="1"/>
  <c r="N22" i="16" s="1"/>
  <c r="O22" i="16" s="1"/>
  <c r="P22" i="16" s="1"/>
  <c r="Q22" i="16" s="1"/>
  <c r="E41" i="16"/>
  <c r="E29" i="16"/>
  <c r="E45" i="16"/>
  <c r="M45" i="16" s="1"/>
  <c r="N45" i="16" s="1"/>
  <c r="O45" i="16" s="1"/>
  <c r="P45" i="16" s="1"/>
  <c r="Q45" i="16" s="1"/>
  <c r="E25" i="16"/>
  <c r="M25" i="16" s="1"/>
  <c r="N25" i="16" s="1"/>
  <c r="O25" i="16" s="1"/>
  <c r="E37" i="16"/>
  <c r="E30" i="16"/>
  <c r="M30" i="16" s="1"/>
  <c r="N30" i="16" s="1"/>
  <c r="O30" i="16" s="1"/>
  <c r="E11" i="16"/>
  <c r="E27" i="16"/>
  <c r="E33" i="16"/>
  <c r="M33" i="16" s="1"/>
  <c r="N33" i="16" s="1"/>
  <c r="O33" i="16" s="1"/>
  <c r="P33" i="16" s="1"/>
  <c r="Q33" i="16" s="1"/>
  <c r="E38" i="16"/>
  <c r="E19" i="16"/>
  <c r="M19" i="16" s="1"/>
  <c r="N19" i="16" s="1"/>
  <c r="O19" i="16" s="1"/>
  <c r="P19" i="16" s="1"/>
  <c r="Q19" i="16" s="1"/>
  <c r="E23" i="16"/>
  <c r="E6" i="16"/>
  <c r="E14" i="16"/>
  <c r="E9" i="16"/>
  <c r="E28" i="16"/>
  <c r="E34" i="16"/>
  <c r="E39" i="16"/>
  <c r="E44" i="16"/>
  <c r="M44" i="16" s="1"/>
  <c r="N44" i="16" s="1"/>
  <c r="O44" i="16" s="1"/>
  <c r="P44" i="16" s="1"/>
  <c r="Q44" i="16" s="1"/>
  <c r="E10" i="16"/>
  <c r="E5" i="16"/>
  <c r="E4" i="16"/>
  <c r="E12" i="16"/>
  <c r="E20" i="16"/>
  <c r="M20" i="16" s="1"/>
  <c r="N20" i="16" s="1"/>
  <c r="O20" i="16" s="1"/>
  <c r="P20" i="16" s="1"/>
  <c r="Q20" i="16" s="1"/>
  <c r="E24" i="16"/>
  <c r="M24" i="16" s="1"/>
  <c r="N24" i="16" s="1"/>
  <c r="O24" i="16" s="1"/>
  <c r="P24" i="16" s="1"/>
  <c r="Q24" i="16" s="1"/>
  <c r="E40" i="16"/>
  <c r="M23" i="16"/>
  <c r="N23" i="16" s="1"/>
  <c r="O23" i="16" s="1"/>
  <c r="P23" i="16" s="1"/>
  <c r="Q23" i="16" s="1"/>
  <c r="C47" i="16"/>
  <c r="K47" i="16"/>
  <c r="D51" i="16"/>
  <c r="E51" i="16" s="1"/>
  <c r="I6" i="16" s="1"/>
  <c r="E26" i="16"/>
  <c r="M26" i="16" s="1"/>
  <c r="N26" i="16" s="1"/>
  <c r="O26" i="16" s="1"/>
  <c r="P26" i="16" s="1"/>
  <c r="Q26" i="16" s="1"/>
  <c r="P25" i="16"/>
  <c r="Q25" i="16" s="1"/>
  <c r="P30" i="16"/>
  <c r="Q30" i="16" s="1"/>
  <c r="O16" i="15"/>
  <c r="O17" i="15"/>
  <c r="O31" i="15"/>
  <c r="O32" i="15"/>
  <c r="O35" i="15"/>
  <c r="O36" i="15"/>
  <c r="O42" i="15"/>
  <c r="O43" i="15"/>
  <c r="C51" i="15"/>
  <c r="D51" i="15" s="1"/>
  <c r="L47" i="15"/>
  <c r="J47" i="15"/>
  <c r="H47" i="15"/>
  <c r="F47" i="15"/>
  <c r="D47" i="15"/>
  <c r="B47" i="15"/>
  <c r="C46" i="15"/>
  <c r="E45" i="15"/>
  <c r="C45" i="15"/>
  <c r="C44" i="15"/>
  <c r="K41" i="15"/>
  <c r="C41" i="15"/>
  <c r="K40" i="15"/>
  <c r="C40" i="15"/>
  <c r="E39" i="15"/>
  <c r="C39" i="15"/>
  <c r="C38" i="15"/>
  <c r="K37" i="15"/>
  <c r="C37" i="15"/>
  <c r="K34" i="15"/>
  <c r="C34" i="15"/>
  <c r="C33" i="15"/>
  <c r="C30" i="15"/>
  <c r="C29" i="15"/>
  <c r="C28" i="15"/>
  <c r="C27" i="15"/>
  <c r="C26" i="15"/>
  <c r="C25" i="15"/>
  <c r="C24" i="15"/>
  <c r="C23" i="15"/>
  <c r="E22" i="15"/>
  <c r="C22" i="15"/>
  <c r="C21" i="15"/>
  <c r="C20" i="15"/>
  <c r="C19" i="15"/>
  <c r="E18" i="15"/>
  <c r="C18" i="15"/>
  <c r="K15" i="15"/>
  <c r="C15" i="15"/>
  <c r="K14" i="15"/>
  <c r="C14" i="15"/>
  <c r="K13" i="15"/>
  <c r="E13" i="15"/>
  <c r="C13" i="15"/>
  <c r="K12" i="15"/>
  <c r="C12" i="15"/>
  <c r="K11" i="15"/>
  <c r="C11" i="15"/>
  <c r="K10" i="15"/>
  <c r="C10" i="15"/>
  <c r="K9" i="15"/>
  <c r="C9" i="15"/>
  <c r="K8" i="15"/>
  <c r="C8" i="15"/>
  <c r="K7" i="15"/>
  <c r="C7" i="15"/>
  <c r="K6" i="15"/>
  <c r="C6" i="15"/>
  <c r="K5" i="15"/>
  <c r="C5" i="15"/>
  <c r="K4" i="15"/>
  <c r="E4" i="15"/>
  <c r="C4" i="15"/>
  <c r="O16" i="14"/>
  <c r="O17" i="14"/>
  <c r="O31" i="14"/>
  <c r="O32" i="14"/>
  <c r="O35" i="14"/>
  <c r="O36" i="14"/>
  <c r="O42" i="14"/>
  <c r="O43" i="14"/>
  <c r="C51" i="14"/>
  <c r="E37" i="14" s="1"/>
  <c r="L47" i="14"/>
  <c r="J47" i="14"/>
  <c r="H47" i="14"/>
  <c r="F47" i="14"/>
  <c r="D47" i="14"/>
  <c r="B47" i="14"/>
  <c r="C46" i="14"/>
  <c r="C45" i="14"/>
  <c r="C44" i="14"/>
  <c r="K41" i="14"/>
  <c r="C41" i="14"/>
  <c r="K40" i="14"/>
  <c r="C40" i="14"/>
  <c r="C39" i="14"/>
  <c r="C38" i="14"/>
  <c r="K37" i="14"/>
  <c r="C37" i="14"/>
  <c r="K34" i="14"/>
  <c r="C34" i="14"/>
  <c r="C33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K15" i="14"/>
  <c r="C15" i="14"/>
  <c r="K14" i="14"/>
  <c r="C14" i="14"/>
  <c r="K13" i="14"/>
  <c r="C13" i="14"/>
  <c r="K12" i="14"/>
  <c r="C12" i="14"/>
  <c r="K11" i="14"/>
  <c r="C11" i="14"/>
  <c r="K10" i="14"/>
  <c r="C10" i="14"/>
  <c r="K9" i="14"/>
  <c r="C9" i="14"/>
  <c r="K8" i="14"/>
  <c r="C8" i="14"/>
  <c r="K7" i="14"/>
  <c r="C7" i="14"/>
  <c r="K6" i="14"/>
  <c r="C6" i="14"/>
  <c r="K5" i="14"/>
  <c r="C5" i="14"/>
  <c r="K4" i="14"/>
  <c r="C4" i="14"/>
  <c r="O16" i="10"/>
  <c r="O17" i="10"/>
  <c r="O31" i="10"/>
  <c r="O32" i="10"/>
  <c r="O35" i="10"/>
  <c r="O36" i="10"/>
  <c r="O42" i="10"/>
  <c r="O43" i="10"/>
  <c r="O16" i="13"/>
  <c r="O17" i="13"/>
  <c r="O31" i="13"/>
  <c r="O32" i="13"/>
  <c r="O35" i="13"/>
  <c r="O36" i="13"/>
  <c r="O42" i="13"/>
  <c r="O43" i="13"/>
  <c r="O16" i="11"/>
  <c r="O17" i="11"/>
  <c r="O31" i="11"/>
  <c r="O32" i="11"/>
  <c r="O35" i="11"/>
  <c r="O36" i="11"/>
  <c r="O42" i="11"/>
  <c r="O43" i="11"/>
  <c r="O16" i="9"/>
  <c r="O17" i="9"/>
  <c r="O31" i="9"/>
  <c r="O32" i="9"/>
  <c r="O35" i="9"/>
  <c r="O36" i="9"/>
  <c r="O42" i="9"/>
  <c r="O43" i="9"/>
  <c r="O16" i="4"/>
  <c r="O31" i="4"/>
  <c r="O32" i="4"/>
  <c r="O35" i="4"/>
  <c r="O36" i="4"/>
  <c r="O42" i="4"/>
  <c r="O43" i="4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51" i="13"/>
  <c r="D51" i="13" s="1"/>
  <c r="G6" i="13" s="1"/>
  <c r="L47" i="13"/>
  <c r="J47" i="13"/>
  <c r="H47" i="13"/>
  <c r="F47" i="13"/>
  <c r="D47" i="13"/>
  <c r="B47" i="13"/>
  <c r="C46" i="13"/>
  <c r="E45" i="13"/>
  <c r="C45" i="13"/>
  <c r="C44" i="13"/>
  <c r="K41" i="13"/>
  <c r="C41" i="13"/>
  <c r="K40" i="13"/>
  <c r="C40" i="13"/>
  <c r="C39" i="13"/>
  <c r="C38" i="13"/>
  <c r="K37" i="13"/>
  <c r="C37" i="13"/>
  <c r="K34" i="13"/>
  <c r="C34" i="13"/>
  <c r="C33" i="13"/>
  <c r="K15" i="13"/>
  <c r="C15" i="13"/>
  <c r="K14" i="13"/>
  <c r="C14" i="13"/>
  <c r="K13" i="13"/>
  <c r="C13" i="13"/>
  <c r="K12" i="13"/>
  <c r="C12" i="13"/>
  <c r="K11" i="13"/>
  <c r="C11" i="13"/>
  <c r="K10" i="13"/>
  <c r="C10" i="13"/>
  <c r="K9" i="13"/>
  <c r="C9" i="13"/>
  <c r="K8" i="13"/>
  <c r="C8" i="13"/>
  <c r="K7" i="13"/>
  <c r="C7" i="13"/>
  <c r="K6" i="13"/>
  <c r="C6" i="13"/>
  <c r="K5" i="13"/>
  <c r="C5" i="13"/>
  <c r="K4" i="13"/>
  <c r="C4" i="13"/>
  <c r="T49" i="12"/>
  <c r="O49" i="12"/>
  <c r="T48" i="12"/>
  <c r="O48" i="12"/>
  <c r="T47" i="12"/>
  <c r="O47" i="12"/>
  <c r="L46" i="12"/>
  <c r="K46" i="12"/>
  <c r="J46" i="12"/>
  <c r="I46" i="12"/>
  <c r="T46" i="12" s="1"/>
  <c r="C46" i="12"/>
  <c r="T44" i="12"/>
  <c r="S44" i="12"/>
  <c r="R44" i="12"/>
  <c r="Q44" i="12"/>
  <c r="P44" i="12"/>
  <c r="O44" i="12"/>
  <c r="T43" i="12"/>
  <c r="S43" i="12"/>
  <c r="R43" i="12"/>
  <c r="Q43" i="12"/>
  <c r="P43" i="12"/>
  <c r="O43" i="12"/>
  <c r="T42" i="12"/>
  <c r="R42" i="12"/>
  <c r="Q42" i="12"/>
  <c r="P42" i="12"/>
  <c r="O42" i="12"/>
  <c r="T41" i="12"/>
  <c r="R41" i="12"/>
  <c r="Q41" i="12"/>
  <c r="P41" i="12"/>
  <c r="O41" i="12"/>
  <c r="T40" i="12"/>
  <c r="S40" i="12"/>
  <c r="R40" i="12"/>
  <c r="Q40" i="12"/>
  <c r="P40" i="12"/>
  <c r="O40" i="12"/>
  <c r="M39" i="12"/>
  <c r="L39" i="12"/>
  <c r="K39" i="12"/>
  <c r="Q39" i="12" s="1"/>
  <c r="J39" i="12"/>
  <c r="I39" i="12"/>
  <c r="O39" i="12" s="1"/>
  <c r="G39" i="12"/>
  <c r="F39" i="12"/>
  <c r="E39" i="12"/>
  <c r="D39" i="12"/>
  <c r="C39" i="12"/>
  <c r="T37" i="12"/>
  <c r="Q37" i="12"/>
  <c r="P37" i="12"/>
  <c r="O37" i="12"/>
  <c r="T36" i="12"/>
  <c r="P36" i="12"/>
  <c r="O36" i="12"/>
  <c r="M35" i="12"/>
  <c r="L35" i="12"/>
  <c r="K35" i="12"/>
  <c r="Q35" i="12" s="1"/>
  <c r="J35" i="12"/>
  <c r="I35" i="12"/>
  <c r="G35" i="12"/>
  <c r="F35" i="12"/>
  <c r="E35" i="12"/>
  <c r="D35" i="12"/>
  <c r="C35" i="12"/>
  <c r="T33" i="12"/>
  <c r="P33" i="12"/>
  <c r="O33" i="12"/>
  <c r="T32" i="12"/>
  <c r="R32" i="12"/>
  <c r="Q32" i="12"/>
  <c r="P32" i="12"/>
  <c r="O32" i="12"/>
  <c r="T31" i="12"/>
  <c r="R31" i="12"/>
  <c r="P31" i="12"/>
  <c r="O31" i="12"/>
  <c r="T30" i="12"/>
  <c r="Q30" i="12"/>
  <c r="P30" i="12"/>
  <c r="O30" i="12"/>
  <c r="T29" i="12"/>
  <c r="P29" i="12"/>
  <c r="O29" i="12"/>
  <c r="T28" i="12"/>
  <c r="P28" i="12"/>
  <c r="O28" i="12"/>
  <c r="T27" i="12"/>
  <c r="P27" i="12"/>
  <c r="O27" i="12"/>
  <c r="T26" i="12"/>
  <c r="P26" i="12"/>
  <c r="O26" i="12"/>
  <c r="T25" i="12"/>
  <c r="P25" i="12"/>
  <c r="O25" i="12"/>
  <c r="T24" i="12"/>
  <c r="R24" i="12"/>
  <c r="P24" i="12"/>
  <c r="O24" i="12"/>
  <c r="T23" i="12"/>
  <c r="P23" i="12"/>
  <c r="O23" i="12"/>
  <c r="T22" i="12"/>
  <c r="P22" i="12"/>
  <c r="O22" i="12"/>
  <c r="T21" i="12"/>
  <c r="P21" i="12"/>
  <c r="O21" i="12"/>
  <c r="M20" i="12"/>
  <c r="L20" i="12"/>
  <c r="R20" i="12" s="1"/>
  <c r="K20" i="12"/>
  <c r="J20" i="12"/>
  <c r="P20" i="12" s="1"/>
  <c r="I20" i="12"/>
  <c r="O20" i="12" s="1"/>
  <c r="G20" i="12"/>
  <c r="F20" i="12"/>
  <c r="E20" i="12"/>
  <c r="D20" i="12"/>
  <c r="C20" i="12"/>
  <c r="T18" i="12"/>
  <c r="S18" i="12"/>
  <c r="R18" i="12"/>
  <c r="Q18" i="12"/>
  <c r="P18" i="12"/>
  <c r="O18" i="12"/>
  <c r="T17" i="12"/>
  <c r="S17" i="12"/>
  <c r="R17" i="12"/>
  <c r="Q17" i="12"/>
  <c r="P17" i="12"/>
  <c r="O17" i="12"/>
  <c r="T16" i="12"/>
  <c r="S16" i="12"/>
  <c r="R16" i="12"/>
  <c r="Q16" i="12"/>
  <c r="P16" i="12"/>
  <c r="O16" i="12"/>
  <c r="T15" i="12"/>
  <c r="S15" i="12"/>
  <c r="R15" i="12"/>
  <c r="Q15" i="12"/>
  <c r="P15" i="12"/>
  <c r="O15" i="12"/>
  <c r="T14" i="12"/>
  <c r="S14" i="12"/>
  <c r="R14" i="12"/>
  <c r="Q14" i="12"/>
  <c r="P14" i="12"/>
  <c r="O14" i="12"/>
  <c r="T13" i="12"/>
  <c r="S13" i="12"/>
  <c r="R13" i="12"/>
  <c r="Q13" i="12"/>
  <c r="P13" i="12"/>
  <c r="O13" i="12"/>
  <c r="T12" i="12"/>
  <c r="S12" i="12"/>
  <c r="R12" i="12"/>
  <c r="Q12" i="12"/>
  <c r="P12" i="12"/>
  <c r="O12" i="12"/>
  <c r="T11" i="12"/>
  <c r="S11" i="12"/>
  <c r="R11" i="12"/>
  <c r="Q11" i="12"/>
  <c r="P11" i="12"/>
  <c r="O11" i="12"/>
  <c r="T10" i="12"/>
  <c r="S10" i="12"/>
  <c r="R10" i="12"/>
  <c r="Q10" i="12"/>
  <c r="P10" i="12"/>
  <c r="O10" i="12"/>
  <c r="T9" i="12"/>
  <c r="S9" i="12"/>
  <c r="R9" i="12"/>
  <c r="Q9" i="12"/>
  <c r="P9" i="12"/>
  <c r="O9" i="12"/>
  <c r="T8" i="12"/>
  <c r="S8" i="12"/>
  <c r="R8" i="12"/>
  <c r="Q8" i="12"/>
  <c r="P8" i="12"/>
  <c r="O8" i="12"/>
  <c r="S7" i="12"/>
  <c r="R7" i="12"/>
  <c r="Q7" i="12"/>
  <c r="P7" i="12"/>
  <c r="M6" i="12"/>
  <c r="S6" i="12" s="1"/>
  <c r="L6" i="12"/>
  <c r="R6" i="12" s="1"/>
  <c r="K6" i="12"/>
  <c r="J6" i="12"/>
  <c r="I6" i="12"/>
  <c r="G6" i="12"/>
  <c r="F6" i="12"/>
  <c r="E6" i="12"/>
  <c r="D6" i="12"/>
  <c r="C6" i="12"/>
  <c r="E27" i="13" l="1"/>
  <c r="E6" i="15"/>
  <c r="E26" i="15"/>
  <c r="E28" i="15"/>
  <c r="E24" i="15"/>
  <c r="E11" i="15"/>
  <c r="E30" i="15"/>
  <c r="E38" i="15"/>
  <c r="E44" i="15"/>
  <c r="E5" i="15"/>
  <c r="E8" i="15"/>
  <c r="E20" i="15"/>
  <c r="M20" i="15" s="1"/>
  <c r="N20" i="15" s="1"/>
  <c r="O20" i="15" s="1"/>
  <c r="P20" i="15" s="1"/>
  <c r="Q20" i="15" s="1"/>
  <c r="E12" i="15"/>
  <c r="E15" i="15"/>
  <c r="E34" i="15"/>
  <c r="G13" i="16"/>
  <c r="M44" i="15"/>
  <c r="N44" i="15" s="1"/>
  <c r="O44" i="15" s="1"/>
  <c r="P44" i="15" s="1"/>
  <c r="Q44" i="15" s="1"/>
  <c r="E8" i="13"/>
  <c r="E37" i="13"/>
  <c r="E12" i="13"/>
  <c r="E20" i="13"/>
  <c r="E6" i="13"/>
  <c r="E22" i="13"/>
  <c r="M22" i="13" s="1"/>
  <c r="N22" i="13" s="1"/>
  <c r="O22" i="13" s="1"/>
  <c r="P22" i="13" s="1"/>
  <c r="Q22" i="13" s="1"/>
  <c r="I8" i="16"/>
  <c r="M8" i="16" s="1"/>
  <c r="N8" i="16" s="1"/>
  <c r="E11" i="13"/>
  <c r="E34" i="13"/>
  <c r="E14" i="15"/>
  <c r="E19" i="15"/>
  <c r="M19" i="15" s="1"/>
  <c r="N19" i="15" s="1"/>
  <c r="O19" i="15" s="1"/>
  <c r="P19" i="15" s="1"/>
  <c r="Q19" i="15" s="1"/>
  <c r="E23" i="15"/>
  <c r="E27" i="15"/>
  <c r="E33" i="15"/>
  <c r="M33" i="15" s="1"/>
  <c r="N33" i="15" s="1"/>
  <c r="O33" i="15" s="1"/>
  <c r="P33" i="15" s="1"/>
  <c r="Q33" i="15" s="1"/>
  <c r="G7" i="16"/>
  <c r="E7" i="15"/>
  <c r="E10" i="15"/>
  <c r="E21" i="15"/>
  <c r="E25" i="15"/>
  <c r="M25" i="15" s="1"/>
  <c r="N25" i="15" s="1"/>
  <c r="O25" i="15" s="1"/>
  <c r="P25" i="15" s="1"/>
  <c r="Q25" i="15" s="1"/>
  <c r="E29" i="15"/>
  <c r="I15" i="16"/>
  <c r="M22" i="15"/>
  <c r="N22" i="15" s="1"/>
  <c r="O22" i="15" s="1"/>
  <c r="P22" i="15" s="1"/>
  <c r="Q22" i="15" s="1"/>
  <c r="M26" i="15"/>
  <c r="N26" i="15" s="1"/>
  <c r="O26" i="15" s="1"/>
  <c r="P26" i="15" s="1"/>
  <c r="Q26" i="15" s="1"/>
  <c r="G10" i="16"/>
  <c r="I13" i="16"/>
  <c r="I28" i="16"/>
  <c r="M28" i="16" s="1"/>
  <c r="N28" i="16" s="1"/>
  <c r="O28" i="16" s="1"/>
  <c r="P28" i="16" s="1"/>
  <c r="Q28" i="16" s="1"/>
  <c r="G8" i="16"/>
  <c r="E14" i="13"/>
  <c r="E24" i="13"/>
  <c r="M24" i="13" s="1"/>
  <c r="N24" i="13" s="1"/>
  <c r="O24" i="13" s="1"/>
  <c r="P24" i="13" s="1"/>
  <c r="Q24" i="13" s="1"/>
  <c r="E40" i="13"/>
  <c r="E46" i="13"/>
  <c r="I11" i="16"/>
  <c r="I34" i="16"/>
  <c r="I41" i="16"/>
  <c r="G12" i="16"/>
  <c r="M23" i="15"/>
  <c r="N23" i="15" s="1"/>
  <c r="O23" i="15" s="1"/>
  <c r="P23" i="15" s="1"/>
  <c r="Q23" i="15" s="1"/>
  <c r="E4" i="13"/>
  <c r="E9" i="13"/>
  <c r="E25" i="13"/>
  <c r="G40" i="16"/>
  <c r="I38" i="16"/>
  <c r="I37" i="16"/>
  <c r="I9" i="16"/>
  <c r="G29" i="16"/>
  <c r="G39" i="16"/>
  <c r="G38" i="16"/>
  <c r="I40" i="16"/>
  <c r="I14" i="16"/>
  <c r="I12" i="16"/>
  <c r="G5" i="16"/>
  <c r="E7" i="13"/>
  <c r="E15" i="13"/>
  <c r="E28" i="13"/>
  <c r="G41" i="16"/>
  <c r="I21" i="16"/>
  <c r="M21" i="16" s="1"/>
  <c r="N21" i="16" s="1"/>
  <c r="I7" i="16"/>
  <c r="I46" i="16"/>
  <c r="M46" i="16" s="1"/>
  <c r="N46" i="16" s="1"/>
  <c r="O46" i="16" s="1"/>
  <c r="P46" i="16" s="1"/>
  <c r="Q46" i="16" s="1"/>
  <c r="G14" i="16"/>
  <c r="G18" i="16"/>
  <c r="M18" i="16" s="1"/>
  <c r="N18" i="16" s="1"/>
  <c r="O18" i="16" s="1"/>
  <c r="P18" i="16" s="1"/>
  <c r="Q18" i="16" s="1"/>
  <c r="G37" i="16"/>
  <c r="I29" i="16"/>
  <c r="I10" i="16"/>
  <c r="G6" i="16"/>
  <c r="M6" i="16" s="1"/>
  <c r="N6" i="16" s="1"/>
  <c r="O6" i="16" s="1"/>
  <c r="P6" i="16" s="1"/>
  <c r="Q6" i="16" s="1"/>
  <c r="E5" i="13"/>
  <c r="E10" i="13"/>
  <c r="E13" i="13"/>
  <c r="E19" i="13"/>
  <c r="M19" i="13" s="1"/>
  <c r="N19" i="13" s="1"/>
  <c r="O19" i="13" s="1"/>
  <c r="E33" i="13"/>
  <c r="M33" i="13" s="1"/>
  <c r="N33" i="13" s="1"/>
  <c r="E38" i="13"/>
  <c r="G34" i="16"/>
  <c r="I5" i="16"/>
  <c r="I39" i="16"/>
  <c r="G15" i="16"/>
  <c r="M24" i="15"/>
  <c r="N24" i="15" s="1"/>
  <c r="O24" i="15" s="1"/>
  <c r="P24" i="15" s="1"/>
  <c r="Q24" i="15" s="1"/>
  <c r="M45" i="15"/>
  <c r="N45" i="15" s="1"/>
  <c r="O45" i="15" s="1"/>
  <c r="P45" i="15" s="1"/>
  <c r="Q45" i="15" s="1"/>
  <c r="C47" i="15"/>
  <c r="E9" i="15"/>
  <c r="M30" i="15"/>
  <c r="N30" i="15" s="1"/>
  <c r="O30" i="15" s="1"/>
  <c r="P30" i="15" s="1"/>
  <c r="Q30" i="15" s="1"/>
  <c r="E37" i="15"/>
  <c r="I4" i="16"/>
  <c r="G9" i="16"/>
  <c r="G4" i="16"/>
  <c r="G11" i="16"/>
  <c r="E41" i="15"/>
  <c r="G27" i="16"/>
  <c r="M27" i="16" s="1"/>
  <c r="N27" i="16" s="1"/>
  <c r="O27" i="16" s="1"/>
  <c r="P27" i="16" s="1"/>
  <c r="Q27" i="16" s="1"/>
  <c r="K47" i="13"/>
  <c r="K47" i="15"/>
  <c r="E47" i="16"/>
  <c r="P39" i="12"/>
  <c r="Q20" i="12"/>
  <c r="R39" i="12"/>
  <c r="S39" i="12"/>
  <c r="O6" i="12"/>
  <c r="P6" i="12"/>
  <c r="Q6" i="12"/>
  <c r="O35" i="12"/>
  <c r="P35" i="12"/>
  <c r="O21" i="16"/>
  <c r="P21" i="16" s="1"/>
  <c r="Q21" i="16" s="1"/>
  <c r="G15" i="15"/>
  <c r="G12" i="15"/>
  <c r="G9" i="15"/>
  <c r="G6" i="15"/>
  <c r="E51" i="15"/>
  <c r="G38" i="15"/>
  <c r="G13" i="15"/>
  <c r="G10" i="15"/>
  <c r="G7" i="15"/>
  <c r="G4" i="15"/>
  <c r="G41" i="15"/>
  <c r="G40" i="15"/>
  <c r="G29" i="15"/>
  <c r="G39" i="15"/>
  <c r="G18" i="15"/>
  <c r="M18" i="15" s="1"/>
  <c r="N18" i="15" s="1"/>
  <c r="G14" i="15"/>
  <c r="G11" i="15"/>
  <c r="G8" i="15"/>
  <c r="G5" i="15"/>
  <c r="G37" i="15"/>
  <c r="G34" i="15"/>
  <c r="G27" i="15"/>
  <c r="E40" i="15"/>
  <c r="E46" i="15"/>
  <c r="E30" i="14"/>
  <c r="M30" i="14" s="1"/>
  <c r="N30" i="14" s="1"/>
  <c r="O30" i="14" s="1"/>
  <c r="P30" i="14" s="1"/>
  <c r="Q30" i="14" s="1"/>
  <c r="E4" i="14"/>
  <c r="E14" i="14"/>
  <c r="K47" i="14"/>
  <c r="E10" i="14"/>
  <c r="E39" i="14"/>
  <c r="E22" i="14"/>
  <c r="M22" i="14" s="1"/>
  <c r="N22" i="14" s="1"/>
  <c r="O22" i="14" s="1"/>
  <c r="P22" i="14" s="1"/>
  <c r="Q22" i="14" s="1"/>
  <c r="E8" i="14"/>
  <c r="E20" i="14"/>
  <c r="M20" i="14" s="1"/>
  <c r="N20" i="14" s="1"/>
  <c r="O20" i="14" s="1"/>
  <c r="P20" i="14" s="1"/>
  <c r="Q20" i="14" s="1"/>
  <c r="C47" i="14"/>
  <c r="E6" i="14"/>
  <c r="E25" i="14"/>
  <c r="M25" i="14" s="1"/>
  <c r="N25" i="14" s="1"/>
  <c r="O25" i="14" s="1"/>
  <c r="E46" i="14"/>
  <c r="E12" i="14"/>
  <c r="E27" i="14"/>
  <c r="E28" i="14"/>
  <c r="E40" i="14"/>
  <c r="E44" i="14"/>
  <c r="M44" i="14" s="1"/>
  <c r="N44" i="14" s="1"/>
  <c r="O44" i="14" s="1"/>
  <c r="P44" i="14" s="1"/>
  <c r="Q44" i="14" s="1"/>
  <c r="E18" i="14"/>
  <c r="E23" i="14"/>
  <c r="M23" i="14" s="1"/>
  <c r="N23" i="14" s="1"/>
  <c r="E5" i="14"/>
  <c r="E7" i="14"/>
  <c r="E9" i="14"/>
  <c r="E11" i="14"/>
  <c r="E13" i="14"/>
  <c r="E15" i="14"/>
  <c r="E21" i="14"/>
  <c r="E26" i="14"/>
  <c r="M26" i="14" s="1"/>
  <c r="N26" i="14" s="1"/>
  <c r="O26" i="14" s="1"/>
  <c r="P26" i="14" s="1"/>
  <c r="Q26" i="14" s="1"/>
  <c r="E29" i="14"/>
  <c r="E33" i="14"/>
  <c r="M33" i="14" s="1"/>
  <c r="N33" i="14" s="1"/>
  <c r="E38" i="14"/>
  <c r="E45" i="14"/>
  <c r="M45" i="14" s="1"/>
  <c r="N45" i="14" s="1"/>
  <c r="E19" i="14"/>
  <c r="M19" i="14" s="1"/>
  <c r="N19" i="14" s="1"/>
  <c r="O19" i="14" s="1"/>
  <c r="P19" i="14" s="1"/>
  <c r="Q19" i="14" s="1"/>
  <c r="E24" i="14"/>
  <c r="M24" i="14" s="1"/>
  <c r="N24" i="14" s="1"/>
  <c r="O24" i="14" s="1"/>
  <c r="P24" i="14" s="1"/>
  <c r="Q24" i="14" s="1"/>
  <c r="E41" i="14"/>
  <c r="P25" i="14"/>
  <c r="Q25" i="14" s="1"/>
  <c r="D51" i="14"/>
  <c r="E34" i="14"/>
  <c r="E23" i="13"/>
  <c r="M23" i="13" s="1"/>
  <c r="N23" i="13" s="1"/>
  <c r="O23" i="13" s="1"/>
  <c r="P23" i="13" s="1"/>
  <c r="Q23" i="13" s="1"/>
  <c r="E29" i="13"/>
  <c r="E39" i="13"/>
  <c r="M20" i="13"/>
  <c r="N20" i="13" s="1"/>
  <c r="O20" i="13" s="1"/>
  <c r="P20" i="13" s="1"/>
  <c r="Q20" i="13" s="1"/>
  <c r="E21" i="13"/>
  <c r="E26" i="13"/>
  <c r="M26" i="13" s="1"/>
  <c r="N26" i="13" s="1"/>
  <c r="O26" i="13" s="1"/>
  <c r="P26" i="13" s="1"/>
  <c r="Q26" i="13" s="1"/>
  <c r="M25" i="13"/>
  <c r="N25" i="13" s="1"/>
  <c r="O25" i="13" s="1"/>
  <c r="P25" i="13" s="1"/>
  <c r="Q25" i="13" s="1"/>
  <c r="M45" i="13"/>
  <c r="N45" i="13" s="1"/>
  <c r="C47" i="13"/>
  <c r="G14" i="13"/>
  <c r="G11" i="13"/>
  <c r="G8" i="13"/>
  <c r="G5" i="13"/>
  <c r="E51" i="13"/>
  <c r="G40" i="13"/>
  <c r="G38" i="13"/>
  <c r="G27" i="13"/>
  <c r="M27" i="13" s="1"/>
  <c r="N27" i="13" s="1"/>
  <c r="O27" i="13" s="1"/>
  <c r="G15" i="13"/>
  <c r="G12" i="13"/>
  <c r="G9" i="13"/>
  <c r="G41" i="13"/>
  <c r="G18" i="13"/>
  <c r="G39" i="13"/>
  <c r="G13" i="13"/>
  <c r="G10" i="13"/>
  <c r="G7" i="13"/>
  <c r="G4" i="13"/>
  <c r="G37" i="13"/>
  <c r="G34" i="13"/>
  <c r="G29" i="13"/>
  <c r="E18" i="13"/>
  <c r="E30" i="13"/>
  <c r="M30" i="13" s="1"/>
  <c r="N30" i="13" s="1"/>
  <c r="O30" i="13" s="1"/>
  <c r="E41" i="13"/>
  <c r="E44" i="13"/>
  <c r="M44" i="13" s="1"/>
  <c r="N44" i="13" s="1"/>
  <c r="T39" i="12"/>
  <c r="T35" i="12"/>
  <c r="T20" i="12"/>
  <c r="O46" i="12"/>
  <c r="M11" i="16" l="1"/>
  <c r="N11" i="16" s="1"/>
  <c r="O11" i="16" s="1"/>
  <c r="P11" i="16" s="1"/>
  <c r="Q11" i="16" s="1"/>
  <c r="M4" i="16"/>
  <c r="N4" i="16" s="1"/>
  <c r="O4" i="16" s="1"/>
  <c r="P4" i="16" s="1"/>
  <c r="M14" i="16"/>
  <c r="N14" i="16" s="1"/>
  <c r="M13" i="16"/>
  <c r="N13" i="16" s="1"/>
  <c r="O13" i="16" s="1"/>
  <c r="P13" i="16" s="1"/>
  <c r="Q13" i="16" s="1"/>
  <c r="M41" i="16"/>
  <c r="N41" i="16" s="1"/>
  <c r="O41" i="16" s="1"/>
  <c r="P41" i="16" s="1"/>
  <c r="Q41" i="16" s="1"/>
  <c r="M27" i="15"/>
  <c r="N27" i="15" s="1"/>
  <c r="O27" i="15" s="1"/>
  <c r="P27" i="15" s="1"/>
  <c r="Q27" i="15" s="1"/>
  <c r="M15" i="16"/>
  <c r="N15" i="16" s="1"/>
  <c r="O15" i="16" s="1"/>
  <c r="P15" i="16" s="1"/>
  <c r="Q15" i="16" s="1"/>
  <c r="M38" i="16"/>
  <c r="N38" i="16" s="1"/>
  <c r="O38" i="16" s="1"/>
  <c r="P38" i="16" s="1"/>
  <c r="Q38" i="16" s="1"/>
  <c r="M34" i="16"/>
  <c r="N34" i="16" s="1"/>
  <c r="M7" i="16"/>
  <c r="N7" i="16" s="1"/>
  <c r="O7" i="16" s="1"/>
  <c r="P7" i="16" s="1"/>
  <c r="Q7" i="16" s="1"/>
  <c r="M5" i="16"/>
  <c r="N5" i="16" s="1"/>
  <c r="M10" i="16"/>
  <c r="N10" i="16" s="1"/>
  <c r="O10" i="16" s="1"/>
  <c r="P10" i="16" s="1"/>
  <c r="Q10" i="16" s="1"/>
  <c r="M40" i="16"/>
  <c r="N40" i="16" s="1"/>
  <c r="O40" i="16" s="1"/>
  <c r="P40" i="16" s="1"/>
  <c r="Q40" i="16" s="1"/>
  <c r="I47" i="16"/>
  <c r="M37" i="16"/>
  <c r="N37" i="16" s="1"/>
  <c r="O37" i="16" s="1"/>
  <c r="P37" i="16" s="1"/>
  <c r="Q37" i="16" s="1"/>
  <c r="G47" i="16"/>
  <c r="E47" i="15"/>
  <c r="M39" i="16"/>
  <c r="N39" i="16" s="1"/>
  <c r="O39" i="16" s="1"/>
  <c r="P39" i="16" s="1"/>
  <c r="Q39" i="16" s="1"/>
  <c r="M12" i="16"/>
  <c r="N12" i="16" s="1"/>
  <c r="O12" i="16" s="1"/>
  <c r="P12" i="16" s="1"/>
  <c r="Q12" i="16" s="1"/>
  <c r="M29" i="16"/>
  <c r="N29" i="16" s="1"/>
  <c r="O29" i="16" s="1"/>
  <c r="P29" i="16" s="1"/>
  <c r="Q29" i="16" s="1"/>
  <c r="M9" i="16"/>
  <c r="N9" i="16" s="1"/>
  <c r="O18" i="15"/>
  <c r="P18" i="15" s="1"/>
  <c r="Q18" i="15" s="1"/>
  <c r="O14" i="16"/>
  <c r="P14" i="16" s="1"/>
  <c r="Q14" i="16" s="1"/>
  <c r="O34" i="16"/>
  <c r="P34" i="16" s="1"/>
  <c r="Q34" i="16" s="1"/>
  <c r="O8" i="16"/>
  <c r="P8" i="16" s="1"/>
  <c r="Q8" i="16" s="1"/>
  <c r="O5" i="16"/>
  <c r="P5" i="16" s="1"/>
  <c r="Q5" i="16" s="1"/>
  <c r="I40" i="15"/>
  <c r="M40" i="15" s="1"/>
  <c r="N40" i="15" s="1"/>
  <c r="I38" i="15"/>
  <c r="M38" i="15" s="1"/>
  <c r="N38" i="15" s="1"/>
  <c r="I29" i="15"/>
  <c r="M29" i="15" s="1"/>
  <c r="N29" i="15" s="1"/>
  <c r="I21" i="15"/>
  <c r="M21" i="15" s="1"/>
  <c r="N21" i="15" s="1"/>
  <c r="I7" i="15"/>
  <c r="M7" i="15" s="1"/>
  <c r="N7" i="15" s="1"/>
  <c r="I41" i="15"/>
  <c r="M41" i="15" s="1"/>
  <c r="N41" i="15" s="1"/>
  <c r="I13" i="15"/>
  <c r="M13" i="15" s="1"/>
  <c r="N13" i="15" s="1"/>
  <c r="I39" i="15"/>
  <c r="M39" i="15" s="1"/>
  <c r="N39" i="15" s="1"/>
  <c r="I28" i="15"/>
  <c r="M28" i="15" s="1"/>
  <c r="N28" i="15" s="1"/>
  <c r="I14" i="15"/>
  <c r="M14" i="15" s="1"/>
  <c r="N14" i="15" s="1"/>
  <c r="I11" i="15"/>
  <c r="M11" i="15" s="1"/>
  <c r="N11" i="15" s="1"/>
  <c r="I8" i="15"/>
  <c r="M8" i="15" s="1"/>
  <c r="N8" i="15" s="1"/>
  <c r="I5" i="15"/>
  <c r="M5" i="15" s="1"/>
  <c r="N5" i="15" s="1"/>
  <c r="I46" i="15"/>
  <c r="M46" i="15" s="1"/>
  <c r="N46" i="15" s="1"/>
  <c r="I37" i="15"/>
  <c r="M37" i="15" s="1"/>
  <c r="N37" i="15" s="1"/>
  <c r="I34" i="15"/>
  <c r="M34" i="15" s="1"/>
  <c r="N34" i="15" s="1"/>
  <c r="I10" i="15"/>
  <c r="M10" i="15" s="1"/>
  <c r="N10" i="15" s="1"/>
  <c r="I4" i="15"/>
  <c r="I15" i="15"/>
  <c r="M15" i="15" s="1"/>
  <c r="N15" i="15" s="1"/>
  <c r="I12" i="15"/>
  <c r="M12" i="15" s="1"/>
  <c r="N12" i="15" s="1"/>
  <c r="I9" i="15"/>
  <c r="M9" i="15" s="1"/>
  <c r="N9" i="15" s="1"/>
  <c r="I6" i="15"/>
  <c r="M6" i="15" s="1"/>
  <c r="N6" i="15" s="1"/>
  <c r="G47" i="15"/>
  <c r="O45" i="14"/>
  <c r="P45" i="14" s="1"/>
  <c r="Q45" i="14" s="1"/>
  <c r="E47" i="14"/>
  <c r="O23" i="14"/>
  <c r="P23" i="14" s="1"/>
  <c r="Q23" i="14" s="1"/>
  <c r="O33" i="14"/>
  <c r="P33" i="14" s="1"/>
  <c r="Q33" i="14" s="1"/>
  <c r="G15" i="14"/>
  <c r="G12" i="14"/>
  <c r="G9" i="14"/>
  <c r="G6" i="14"/>
  <c r="E51" i="14"/>
  <c r="G38" i="14"/>
  <c r="G13" i="14"/>
  <c r="G10" i="14"/>
  <c r="G7" i="14"/>
  <c r="G4" i="14"/>
  <c r="G40" i="14"/>
  <c r="G41" i="14"/>
  <c r="G39" i="14"/>
  <c r="G18" i="14"/>
  <c r="M18" i="14" s="1"/>
  <c r="N18" i="14" s="1"/>
  <c r="G14" i="14"/>
  <c r="G11" i="14"/>
  <c r="G8" i="14"/>
  <c r="G5" i="14"/>
  <c r="G37" i="14"/>
  <c r="G34" i="14"/>
  <c r="G27" i="14"/>
  <c r="M27" i="14" s="1"/>
  <c r="N27" i="14" s="1"/>
  <c r="G29" i="14"/>
  <c r="O33" i="13"/>
  <c r="P33" i="13" s="1"/>
  <c r="Q33" i="13" s="1"/>
  <c r="O44" i="13"/>
  <c r="P44" i="13" s="1"/>
  <c r="Q44" i="13" s="1"/>
  <c r="M18" i="13"/>
  <c r="N18" i="13" s="1"/>
  <c r="O18" i="13" s="1"/>
  <c r="P18" i="13" s="1"/>
  <c r="Q18" i="13" s="1"/>
  <c r="O45" i="13"/>
  <c r="P45" i="13" s="1"/>
  <c r="Q45" i="13" s="1"/>
  <c r="P30" i="13"/>
  <c r="Q30" i="13" s="1"/>
  <c r="P27" i="13"/>
  <c r="Q27" i="13" s="1"/>
  <c r="P19" i="13"/>
  <c r="Q19" i="13" s="1"/>
  <c r="I40" i="13"/>
  <c r="M40" i="13" s="1"/>
  <c r="N40" i="13" s="1"/>
  <c r="I38" i="13"/>
  <c r="M38" i="13" s="1"/>
  <c r="N38" i="13" s="1"/>
  <c r="I28" i="13"/>
  <c r="M28" i="13" s="1"/>
  <c r="N28" i="13" s="1"/>
  <c r="O28" i="13" s="1"/>
  <c r="I46" i="13"/>
  <c r="M46" i="13" s="1"/>
  <c r="N46" i="13" s="1"/>
  <c r="I15" i="13"/>
  <c r="M15" i="13" s="1"/>
  <c r="N15" i="13" s="1"/>
  <c r="I12" i="13"/>
  <c r="M12" i="13" s="1"/>
  <c r="N12" i="13" s="1"/>
  <c r="I9" i="13"/>
  <c r="M9" i="13" s="1"/>
  <c r="N9" i="13" s="1"/>
  <c r="I6" i="13"/>
  <c r="M6" i="13" s="1"/>
  <c r="N6" i="13" s="1"/>
  <c r="I41" i="13"/>
  <c r="M41" i="13" s="1"/>
  <c r="N41" i="13" s="1"/>
  <c r="I21" i="13"/>
  <c r="M21" i="13" s="1"/>
  <c r="N21" i="13" s="1"/>
  <c r="O21" i="13" s="1"/>
  <c r="I39" i="13"/>
  <c r="M39" i="13" s="1"/>
  <c r="N39" i="13" s="1"/>
  <c r="I13" i="13"/>
  <c r="M13" i="13" s="1"/>
  <c r="N13" i="13" s="1"/>
  <c r="I10" i="13"/>
  <c r="M10" i="13" s="1"/>
  <c r="N10" i="13" s="1"/>
  <c r="I7" i="13"/>
  <c r="M7" i="13" s="1"/>
  <c r="N7" i="13" s="1"/>
  <c r="I4" i="13"/>
  <c r="I37" i="13"/>
  <c r="M37" i="13" s="1"/>
  <c r="N37" i="13" s="1"/>
  <c r="I34" i="13"/>
  <c r="M34" i="13" s="1"/>
  <c r="N34" i="13" s="1"/>
  <c r="I29" i="13"/>
  <c r="M29" i="13" s="1"/>
  <c r="N29" i="13" s="1"/>
  <c r="O29" i="13" s="1"/>
  <c r="I14" i="13"/>
  <c r="M14" i="13" s="1"/>
  <c r="N14" i="13" s="1"/>
  <c r="I11" i="13"/>
  <c r="M11" i="13" s="1"/>
  <c r="N11" i="13" s="1"/>
  <c r="I8" i="13"/>
  <c r="M8" i="13" s="1"/>
  <c r="N8" i="13" s="1"/>
  <c r="I5" i="13"/>
  <c r="M5" i="13" s="1"/>
  <c r="N5" i="13" s="1"/>
  <c r="G47" i="13"/>
  <c r="E47" i="13"/>
  <c r="C51" i="11"/>
  <c r="E44" i="11" s="1"/>
  <c r="L47" i="11"/>
  <c r="J47" i="11"/>
  <c r="H47" i="11"/>
  <c r="F47" i="11"/>
  <c r="D47" i="11"/>
  <c r="B47" i="11"/>
  <c r="C46" i="11"/>
  <c r="C45" i="11"/>
  <c r="C44" i="11"/>
  <c r="K41" i="11"/>
  <c r="C41" i="11"/>
  <c r="K40" i="11"/>
  <c r="C40" i="11"/>
  <c r="C39" i="11"/>
  <c r="C38" i="11"/>
  <c r="K37" i="11"/>
  <c r="C37" i="11"/>
  <c r="K34" i="11"/>
  <c r="C34" i="11"/>
  <c r="C33" i="11"/>
  <c r="K15" i="11"/>
  <c r="C15" i="11"/>
  <c r="K14" i="11"/>
  <c r="C14" i="11"/>
  <c r="K13" i="11"/>
  <c r="C13" i="11"/>
  <c r="K12" i="11"/>
  <c r="C12" i="11"/>
  <c r="K11" i="11"/>
  <c r="C11" i="11"/>
  <c r="K10" i="11"/>
  <c r="C10" i="11"/>
  <c r="K9" i="11"/>
  <c r="C9" i="11"/>
  <c r="K8" i="11"/>
  <c r="C8" i="11"/>
  <c r="K7" i="11"/>
  <c r="C7" i="11"/>
  <c r="K6" i="11"/>
  <c r="C6" i="11"/>
  <c r="K5" i="11"/>
  <c r="C5" i="11"/>
  <c r="K4" i="11"/>
  <c r="C4" i="11"/>
  <c r="C51" i="10"/>
  <c r="E38" i="10" s="1"/>
  <c r="L47" i="10"/>
  <c r="J47" i="10"/>
  <c r="H47" i="10"/>
  <c r="F47" i="10"/>
  <c r="D47" i="10"/>
  <c r="B47" i="10"/>
  <c r="C46" i="10"/>
  <c r="C45" i="10"/>
  <c r="C44" i="10"/>
  <c r="K41" i="10"/>
  <c r="C41" i="10"/>
  <c r="K40" i="10"/>
  <c r="C40" i="10"/>
  <c r="C39" i="10"/>
  <c r="C38" i="10"/>
  <c r="K37" i="10"/>
  <c r="C37" i="10"/>
  <c r="K34" i="10"/>
  <c r="C34" i="10"/>
  <c r="C33" i="10"/>
  <c r="K15" i="10"/>
  <c r="C15" i="10"/>
  <c r="K14" i="10"/>
  <c r="C14" i="10"/>
  <c r="K13" i="10"/>
  <c r="C13" i="10"/>
  <c r="K12" i="10"/>
  <c r="C12" i="10"/>
  <c r="K11" i="10"/>
  <c r="C11" i="10"/>
  <c r="K10" i="10"/>
  <c r="C10" i="10"/>
  <c r="K9" i="10"/>
  <c r="C9" i="10"/>
  <c r="K8" i="10"/>
  <c r="C8" i="10"/>
  <c r="K7" i="10"/>
  <c r="C7" i="10"/>
  <c r="K6" i="10"/>
  <c r="C6" i="10"/>
  <c r="K5" i="10"/>
  <c r="C5" i="10"/>
  <c r="K4" i="10"/>
  <c r="C4" i="10"/>
  <c r="N3" i="16" l="1"/>
  <c r="M47" i="16"/>
  <c r="N47" i="16" s="1"/>
  <c r="O9" i="16"/>
  <c r="P9" i="16" s="1"/>
  <c r="Q9" i="16" s="1"/>
  <c r="O10" i="15"/>
  <c r="P10" i="15" s="1"/>
  <c r="Q10" i="15" s="1"/>
  <c r="O28" i="15"/>
  <c r="P28" i="15" s="1"/>
  <c r="Q28" i="15" s="1"/>
  <c r="O40" i="15"/>
  <c r="P40" i="15" s="1"/>
  <c r="Q40" i="15" s="1"/>
  <c r="O34" i="15"/>
  <c r="P34" i="15" s="1"/>
  <c r="Q34" i="15" s="1"/>
  <c r="O39" i="15"/>
  <c r="P39" i="15" s="1"/>
  <c r="Q39" i="15" s="1"/>
  <c r="O38" i="15"/>
  <c r="P38" i="15" s="1"/>
  <c r="Q38" i="15" s="1"/>
  <c r="O37" i="15"/>
  <c r="P37" i="15" s="1"/>
  <c r="Q37" i="15" s="1"/>
  <c r="O13" i="15"/>
  <c r="P13" i="15" s="1"/>
  <c r="Q13" i="15" s="1"/>
  <c r="O6" i="15"/>
  <c r="P6" i="15" s="1"/>
  <c r="Q6" i="15" s="1"/>
  <c r="O46" i="15"/>
  <c r="P46" i="15" s="1"/>
  <c r="Q46" i="15" s="1"/>
  <c r="O41" i="15"/>
  <c r="P41" i="15" s="1"/>
  <c r="Q41" i="15" s="1"/>
  <c r="O14" i="15"/>
  <c r="P14" i="15" s="1"/>
  <c r="Q14" i="15" s="1"/>
  <c r="O9" i="15"/>
  <c r="P9" i="15" s="1"/>
  <c r="Q9" i="15" s="1"/>
  <c r="O5" i="15"/>
  <c r="P5" i="15" s="1"/>
  <c r="Q5" i="15" s="1"/>
  <c r="O7" i="15"/>
  <c r="P7" i="15" s="1"/>
  <c r="Q7" i="15" s="1"/>
  <c r="O12" i="15"/>
  <c r="P12" i="15" s="1"/>
  <c r="Q12" i="15" s="1"/>
  <c r="O8" i="15"/>
  <c r="P8" i="15" s="1"/>
  <c r="Q8" i="15" s="1"/>
  <c r="O21" i="15"/>
  <c r="P21" i="15" s="1"/>
  <c r="Q21" i="15" s="1"/>
  <c r="O15" i="15"/>
  <c r="P15" i="15" s="1"/>
  <c r="Q15" i="15" s="1"/>
  <c r="O11" i="15"/>
  <c r="P11" i="15" s="1"/>
  <c r="Q11" i="15" s="1"/>
  <c r="O29" i="15"/>
  <c r="P29" i="15" s="1"/>
  <c r="Q29" i="15" s="1"/>
  <c r="I47" i="15"/>
  <c r="M47" i="15" s="1"/>
  <c r="N47" i="15" s="1"/>
  <c r="M4" i="15"/>
  <c r="N4" i="15" s="1"/>
  <c r="O4" i="15" s="1"/>
  <c r="P4" i="15" s="1"/>
  <c r="O27" i="14"/>
  <c r="P27" i="14" s="1"/>
  <c r="Q27" i="14" s="1"/>
  <c r="O18" i="14"/>
  <c r="P18" i="14" s="1"/>
  <c r="Q18" i="14" s="1"/>
  <c r="I40" i="14"/>
  <c r="M40" i="14" s="1"/>
  <c r="N40" i="14" s="1"/>
  <c r="I38" i="14"/>
  <c r="M38" i="14" s="1"/>
  <c r="N38" i="14" s="1"/>
  <c r="I29" i="14"/>
  <c r="M29" i="14" s="1"/>
  <c r="N29" i="14" s="1"/>
  <c r="I21" i="14"/>
  <c r="M21" i="14" s="1"/>
  <c r="N21" i="14" s="1"/>
  <c r="I46" i="14"/>
  <c r="M46" i="14" s="1"/>
  <c r="N46" i="14" s="1"/>
  <c r="I10" i="14"/>
  <c r="M10" i="14" s="1"/>
  <c r="N10" i="14" s="1"/>
  <c r="I7" i="14"/>
  <c r="M7" i="14" s="1"/>
  <c r="N7" i="14" s="1"/>
  <c r="I4" i="14"/>
  <c r="I41" i="14"/>
  <c r="M41" i="14" s="1"/>
  <c r="N41" i="14" s="1"/>
  <c r="I39" i="14"/>
  <c r="M39" i="14" s="1"/>
  <c r="N39" i="14" s="1"/>
  <c r="I28" i="14"/>
  <c r="M28" i="14" s="1"/>
  <c r="N28" i="14" s="1"/>
  <c r="I14" i="14"/>
  <c r="M14" i="14" s="1"/>
  <c r="N14" i="14" s="1"/>
  <c r="I11" i="14"/>
  <c r="M11" i="14" s="1"/>
  <c r="N11" i="14" s="1"/>
  <c r="I8" i="14"/>
  <c r="M8" i="14" s="1"/>
  <c r="N8" i="14" s="1"/>
  <c r="I5" i="14"/>
  <c r="M5" i="14" s="1"/>
  <c r="N5" i="14" s="1"/>
  <c r="I13" i="14"/>
  <c r="M13" i="14" s="1"/>
  <c r="N13" i="14" s="1"/>
  <c r="I37" i="14"/>
  <c r="M37" i="14" s="1"/>
  <c r="N37" i="14" s="1"/>
  <c r="I34" i="14"/>
  <c r="M34" i="14" s="1"/>
  <c r="N34" i="14" s="1"/>
  <c r="I15" i="14"/>
  <c r="M15" i="14" s="1"/>
  <c r="N15" i="14" s="1"/>
  <c r="I12" i="14"/>
  <c r="M12" i="14" s="1"/>
  <c r="N12" i="14" s="1"/>
  <c r="I9" i="14"/>
  <c r="M9" i="14" s="1"/>
  <c r="N9" i="14" s="1"/>
  <c r="I6" i="14"/>
  <c r="M6" i="14" s="1"/>
  <c r="N6" i="14" s="1"/>
  <c r="G47" i="14"/>
  <c r="O14" i="13"/>
  <c r="P14" i="13" s="1"/>
  <c r="Q14" i="13" s="1"/>
  <c r="O10" i="13"/>
  <c r="P10" i="13" s="1"/>
  <c r="Q10" i="13" s="1"/>
  <c r="O9" i="13"/>
  <c r="P9" i="13" s="1"/>
  <c r="Q9" i="13" s="1"/>
  <c r="O40" i="13"/>
  <c r="P40" i="13" s="1"/>
  <c r="Q40" i="13" s="1"/>
  <c r="O13" i="13"/>
  <c r="P13" i="13" s="1"/>
  <c r="Q13" i="13" s="1"/>
  <c r="O12" i="13"/>
  <c r="P12" i="13" s="1"/>
  <c r="Q12" i="13" s="1"/>
  <c r="O34" i="13"/>
  <c r="P34" i="13" s="1"/>
  <c r="Q34" i="13" s="1"/>
  <c r="O15" i="13"/>
  <c r="P15" i="13" s="1"/>
  <c r="Q15" i="13" s="1"/>
  <c r="O5" i="13"/>
  <c r="P5" i="13" s="1"/>
  <c r="Q5" i="13" s="1"/>
  <c r="O8" i="13"/>
  <c r="P8" i="13" s="1"/>
  <c r="Q8" i="13" s="1"/>
  <c r="O41" i="13"/>
  <c r="P41" i="13" s="1"/>
  <c r="Q41" i="13" s="1"/>
  <c r="O39" i="13"/>
  <c r="P39" i="13" s="1"/>
  <c r="Q39" i="13" s="1"/>
  <c r="O37" i="13"/>
  <c r="P37" i="13" s="1"/>
  <c r="Q37" i="13" s="1"/>
  <c r="O46" i="13"/>
  <c r="P46" i="13" s="1"/>
  <c r="Q46" i="13" s="1"/>
  <c r="O11" i="13"/>
  <c r="P11" i="13" s="1"/>
  <c r="Q11" i="13" s="1"/>
  <c r="O7" i="13"/>
  <c r="P7" i="13" s="1"/>
  <c r="Q7" i="13" s="1"/>
  <c r="O6" i="13"/>
  <c r="P6" i="13" s="1"/>
  <c r="Q6" i="13" s="1"/>
  <c r="O38" i="13"/>
  <c r="P38" i="13" s="1"/>
  <c r="Q38" i="13" s="1"/>
  <c r="M44" i="11"/>
  <c r="N44" i="11" s="1"/>
  <c r="P21" i="13"/>
  <c r="Q21" i="13" s="1"/>
  <c r="P28" i="13"/>
  <c r="Q28" i="13" s="1"/>
  <c r="P29" i="13"/>
  <c r="Q29" i="13" s="1"/>
  <c r="I47" i="13"/>
  <c r="M47" i="13" s="1"/>
  <c r="N47" i="13" s="1"/>
  <c r="M4" i="13"/>
  <c r="N4" i="13" s="1"/>
  <c r="O4" i="13" s="1"/>
  <c r="P4" i="13" s="1"/>
  <c r="E46" i="11"/>
  <c r="E5" i="11"/>
  <c r="E11" i="11"/>
  <c r="E28" i="11"/>
  <c r="E38" i="11"/>
  <c r="E29" i="11"/>
  <c r="E8" i="11"/>
  <c r="E14" i="11"/>
  <c r="E19" i="11"/>
  <c r="M19" i="11" s="1"/>
  <c r="N19" i="11" s="1"/>
  <c r="O19" i="11" s="1"/>
  <c r="E24" i="11"/>
  <c r="M24" i="11" s="1"/>
  <c r="N24" i="11" s="1"/>
  <c r="O24" i="11" s="1"/>
  <c r="E33" i="11"/>
  <c r="M33" i="11" s="1"/>
  <c r="N33" i="11" s="1"/>
  <c r="O33" i="11" s="1"/>
  <c r="E22" i="11"/>
  <c r="M22" i="11" s="1"/>
  <c r="N22" i="11" s="1"/>
  <c r="O22" i="11" s="1"/>
  <c r="E23" i="11"/>
  <c r="M23" i="11" s="1"/>
  <c r="N23" i="11" s="1"/>
  <c r="O23" i="11" s="1"/>
  <c r="E40" i="11"/>
  <c r="E4" i="11"/>
  <c r="E7" i="11"/>
  <c r="E10" i="11"/>
  <c r="E37" i="11"/>
  <c r="E18" i="11"/>
  <c r="E26" i="11"/>
  <c r="M26" i="11" s="1"/>
  <c r="N26" i="11" s="1"/>
  <c r="O26" i="11" s="1"/>
  <c r="E39" i="11"/>
  <c r="E45" i="11"/>
  <c r="M45" i="11" s="1"/>
  <c r="N45" i="11" s="1"/>
  <c r="O45" i="11" s="1"/>
  <c r="C47" i="11"/>
  <c r="E13" i="11"/>
  <c r="E20" i="11"/>
  <c r="M20" i="11" s="1"/>
  <c r="N20" i="11" s="1"/>
  <c r="O20" i="11" s="1"/>
  <c r="E25" i="11"/>
  <c r="M25" i="11" s="1"/>
  <c r="N25" i="11" s="1"/>
  <c r="O25" i="11" s="1"/>
  <c r="E34" i="11"/>
  <c r="D51" i="11"/>
  <c r="E6" i="11"/>
  <c r="E9" i="11"/>
  <c r="E12" i="11"/>
  <c r="E15" i="11"/>
  <c r="E21" i="11"/>
  <c r="E27" i="11"/>
  <c r="E30" i="11"/>
  <c r="M30" i="11" s="1"/>
  <c r="N30" i="11" s="1"/>
  <c r="O30" i="11" s="1"/>
  <c r="E41" i="11"/>
  <c r="K47" i="11"/>
  <c r="E13" i="10"/>
  <c r="E5" i="10"/>
  <c r="E18" i="10"/>
  <c r="E44" i="10"/>
  <c r="M44" i="10" s="1"/>
  <c r="N44" i="10" s="1"/>
  <c r="O44" i="10" s="1"/>
  <c r="E8" i="10"/>
  <c r="C47" i="10"/>
  <c r="E21" i="10"/>
  <c r="E37" i="10"/>
  <c r="K47" i="10"/>
  <c r="E22" i="10"/>
  <c r="M22" i="10" s="1"/>
  <c r="N22" i="10" s="1"/>
  <c r="O22" i="10" s="1"/>
  <c r="E34" i="10"/>
  <c r="E27" i="10"/>
  <c r="E46" i="10"/>
  <c r="E10" i="10"/>
  <c r="E15" i="10"/>
  <c r="E19" i="10"/>
  <c r="M19" i="10" s="1"/>
  <c r="N19" i="10" s="1"/>
  <c r="O19" i="10" s="1"/>
  <c r="E23" i="10"/>
  <c r="M23" i="10" s="1"/>
  <c r="N23" i="10" s="1"/>
  <c r="O23" i="10" s="1"/>
  <c r="E28" i="10"/>
  <c r="E39" i="10"/>
  <c r="E41" i="10"/>
  <c r="D51" i="10"/>
  <c r="G4" i="10" s="1"/>
  <c r="E7" i="10"/>
  <c r="E12" i="10"/>
  <c r="E24" i="10"/>
  <c r="M24" i="10" s="1"/>
  <c r="N24" i="10" s="1"/>
  <c r="O24" i="10" s="1"/>
  <c r="E29" i="10"/>
  <c r="E45" i="10"/>
  <c r="M45" i="10" s="1"/>
  <c r="N45" i="10" s="1"/>
  <c r="O45" i="10" s="1"/>
  <c r="E4" i="10"/>
  <c r="E9" i="10"/>
  <c r="E14" i="10"/>
  <c r="E20" i="10"/>
  <c r="M20" i="10" s="1"/>
  <c r="N20" i="10" s="1"/>
  <c r="O20" i="10" s="1"/>
  <c r="E25" i="10"/>
  <c r="M25" i="10" s="1"/>
  <c r="N25" i="10" s="1"/>
  <c r="O25" i="10" s="1"/>
  <c r="E40" i="10"/>
  <c r="E6" i="10"/>
  <c r="E11" i="10"/>
  <c r="E26" i="10"/>
  <c r="M26" i="10" s="1"/>
  <c r="N26" i="10" s="1"/>
  <c r="O26" i="10" s="1"/>
  <c r="E30" i="10"/>
  <c r="M30" i="10" s="1"/>
  <c r="N30" i="10" s="1"/>
  <c r="O30" i="10" s="1"/>
  <c r="E33" i="10"/>
  <c r="M33" i="10" s="1"/>
  <c r="N33" i="10" s="1"/>
  <c r="O33" i="10" s="1"/>
  <c r="O47" i="16" l="1"/>
  <c r="N3" i="13"/>
  <c r="Q4" i="16"/>
  <c r="P47" i="16"/>
  <c r="N3" i="15"/>
  <c r="O5" i="14"/>
  <c r="P5" i="14" s="1"/>
  <c r="Q5" i="14" s="1"/>
  <c r="O41" i="14"/>
  <c r="P41" i="14" s="1"/>
  <c r="Q41" i="14" s="1"/>
  <c r="O12" i="14"/>
  <c r="P12" i="14" s="1"/>
  <c r="Q12" i="14" s="1"/>
  <c r="O38" i="14"/>
  <c r="P38" i="14" s="1"/>
  <c r="Q38" i="14" s="1"/>
  <c r="O15" i="14"/>
  <c r="P15" i="14" s="1"/>
  <c r="Q15" i="14" s="1"/>
  <c r="O11" i="14"/>
  <c r="P11" i="14" s="1"/>
  <c r="Q11" i="14" s="1"/>
  <c r="O7" i="14"/>
  <c r="P7" i="14" s="1"/>
  <c r="Q7" i="14" s="1"/>
  <c r="O40" i="14"/>
  <c r="P40" i="14" s="1"/>
  <c r="Q40" i="14" s="1"/>
  <c r="O9" i="14"/>
  <c r="P9" i="14" s="1"/>
  <c r="Q9" i="14" s="1"/>
  <c r="O29" i="14"/>
  <c r="P29" i="14" s="1"/>
  <c r="Q29" i="14" s="1"/>
  <c r="O8" i="14"/>
  <c r="P8" i="14" s="1"/>
  <c r="Q8" i="14" s="1"/>
  <c r="O34" i="14"/>
  <c r="P34" i="14" s="1"/>
  <c r="Q34" i="14" s="1"/>
  <c r="O14" i="14"/>
  <c r="P14" i="14" s="1"/>
  <c r="Q14" i="14" s="1"/>
  <c r="O10" i="14"/>
  <c r="P10" i="14" s="1"/>
  <c r="Q10" i="14" s="1"/>
  <c r="O46" i="14"/>
  <c r="P46" i="14" s="1"/>
  <c r="Q46" i="14" s="1"/>
  <c r="O37" i="14"/>
  <c r="P37" i="14" s="1"/>
  <c r="Q37" i="14" s="1"/>
  <c r="O28" i="14"/>
  <c r="P28" i="14" s="1"/>
  <c r="Q28" i="14" s="1"/>
  <c r="O6" i="14"/>
  <c r="P6" i="14" s="1"/>
  <c r="Q6" i="14" s="1"/>
  <c r="O13" i="14"/>
  <c r="P13" i="14" s="1"/>
  <c r="Q13" i="14" s="1"/>
  <c r="O39" i="14"/>
  <c r="P39" i="14" s="1"/>
  <c r="Q39" i="14" s="1"/>
  <c r="O21" i="14"/>
  <c r="P21" i="14" s="1"/>
  <c r="Q21" i="14" s="1"/>
  <c r="I47" i="14"/>
  <c r="M47" i="14" s="1"/>
  <c r="N47" i="14" s="1"/>
  <c r="M4" i="14"/>
  <c r="N4" i="14" s="1"/>
  <c r="O4" i="14" s="1"/>
  <c r="P4" i="14" s="1"/>
  <c r="O44" i="11"/>
  <c r="P44" i="11" s="1"/>
  <c r="Q44" i="11" s="1"/>
  <c r="P33" i="11"/>
  <c r="Q33" i="11" s="1"/>
  <c r="P45" i="11"/>
  <c r="Q45" i="11" s="1"/>
  <c r="P24" i="11"/>
  <c r="Q24" i="11" s="1"/>
  <c r="P25" i="11"/>
  <c r="Q25" i="11" s="1"/>
  <c r="P26" i="11"/>
  <c r="Q26" i="11" s="1"/>
  <c r="P19" i="11"/>
  <c r="Q19" i="11" s="1"/>
  <c r="P30" i="11"/>
  <c r="Q30" i="11" s="1"/>
  <c r="P22" i="11"/>
  <c r="Q22" i="11" s="1"/>
  <c r="P20" i="11"/>
  <c r="Q20" i="11" s="1"/>
  <c r="P23" i="11"/>
  <c r="Q23" i="11" s="1"/>
  <c r="P23" i="10"/>
  <c r="Q23" i="10" s="1"/>
  <c r="P19" i="10"/>
  <c r="Q19" i="10" s="1"/>
  <c r="P22" i="10"/>
  <c r="Q22" i="10" s="1"/>
  <c r="P44" i="10"/>
  <c r="Q44" i="10" s="1"/>
  <c r="P33" i="10"/>
  <c r="Q33" i="10" s="1"/>
  <c r="P26" i="10"/>
  <c r="Q26" i="10" s="1"/>
  <c r="P45" i="10"/>
  <c r="Q45" i="10" s="1"/>
  <c r="P25" i="10"/>
  <c r="Q25" i="10" s="1"/>
  <c r="P30" i="10"/>
  <c r="Q30" i="10" s="1"/>
  <c r="P20" i="10"/>
  <c r="Q20" i="10" s="1"/>
  <c r="P24" i="10"/>
  <c r="Q24" i="10" s="1"/>
  <c r="E51" i="11"/>
  <c r="G18" i="11"/>
  <c r="M18" i="11" s="1"/>
  <c r="N18" i="11" s="1"/>
  <c r="O18" i="11" s="1"/>
  <c r="G41" i="11"/>
  <c r="G37" i="11"/>
  <c r="G34" i="11"/>
  <c r="G13" i="11"/>
  <c r="G10" i="11"/>
  <c r="G7" i="11"/>
  <c r="G4" i="11"/>
  <c r="G29" i="11"/>
  <c r="G38" i="11"/>
  <c r="G14" i="11"/>
  <c r="G11" i="11"/>
  <c r="G8" i="11"/>
  <c r="G5" i="11"/>
  <c r="G40" i="11"/>
  <c r="G27" i="11"/>
  <c r="M27" i="11" s="1"/>
  <c r="N27" i="11" s="1"/>
  <c r="O27" i="11" s="1"/>
  <c r="G15" i="11"/>
  <c r="G12" i="11"/>
  <c r="G9" i="11"/>
  <c r="G6" i="11"/>
  <c r="G39" i="11"/>
  <c r="E47" i="11"/>
  <c r="G13" i="10"/>
  <c r="G10" i="10"/>
  <c r="G7" i="10"/>
  <c r="G18" i="10"/>
  <c r="M18" i="10" s="1"/>
  <c r="N18" i="10" s="1"/>
  <c r="O18" i="10" s="1"/>
  <c r="G41" i="10"/>
  <c r="G39" i="10"/>
  <c r="E47" i="10"/>
  <c r="E51" i="10"/>
  <c r="G8" i="10"/>
  <c r="G40" i="10"/>
  <c r="G14" i="10"/>
  <c r="G9" i="10"/>
  <c r="G29" i="10"/>
  <c r="G12" i="10"/>
  <c r="G15" i="10"/>
  <c r="G37" i="10"/>
  <c r="G34" i="10"/>
  <c r="G5" i="10"/>
  <c r="G27" i="10"/>
  <c r="M27" i="10" s="1"/>
  <c r="N27" i="10" s="1"/>
  <c r="O27" i="10" s="1"/>
  <c r="G38" i="10"/>
  <c r="G11" i="10"/>
  <c r="G6" i="10"/>
  <c r="N3" i="14" l="1"/>
  <c r="Q47" i="16"/>
  <c r="B55" i="16"/>
  <c r="O47" i="15"/>
  <c r="O47" i="13"/>
  <c r="P27" i="11"/>
  <c r="Q27" i="11" s="1"/>
  <c r="P18" i="11"/>
  <c r="Q18" i="11" s="1"/>
  <c r="P27" i="10"/>
  <c r="Q27" i="10" s="1"/>
  <c r="P18" i="10"/>
  <c r="Q18" i="10" s="1"/>
  <c r="G47" i="11"/>
  <c r="I38" i="11"/>
  <c r="M38" i="11" s="1"/>
  <c r="N38" i="11" s="1"/>
  <c r="O38" i="11" s="1"/>
  <c r="I9" i="11"/>
  <c r="M9" i="11" s="1"/>
  <c r="N9" i="11" s="1"/>
  <c r="O9" i="11" s="1"/>
  <c r="I13" i="11"/>
  <c r="M13" i="11" s="1"/>
  <c r="N13" i="11" s="1"/>
  <c r="O13" i="11" s="1"/>
  <c r="I34" i="11"/>
  <c r="M34" i="11" s="1"/>
  <c r="N34" i="11" s="1"/>
  <c r="O34" i="11" s="1"/>
  <c r="I8" i="11"/>
  <c r="M8" i="11" s="1"/>
  <c r="N8" i="11" s="1"/>
  <c r="O8" i="11" s="1"/>
  <c r="I41" i="11"/>
  <c r="M41" i="11" s="1"/>
  <c r="N41" i="11" s="1"/>
  <c r="O41" i="11" s="1"/>
  <c r="I7" i="11"/>
  <c r="M7" i="11" s="1"/>
  <c r="N7" i="11" s="1"/>
  <c r="O7" i="11" s="1"/>
  <c r="I14" i="11"/>
  <c r="M14" i="11" s="1"/>
  <c r="N14" i="11" s="1"/>
  <c r="O14" i="11" s="1"/>
  <c r="I46" i="11"/>
  <c r="M46" i="11" s="1"/>
  <c r="N46" i="11" s="1"/>
  <c r="O46" i="11" s="1"/>
  <c r="I4" i="11"/>
  <c r="I40" i="11"/>
  <c r="M40" i="11" s="1"/>
  <c r="N40" i="11" s="1"/>
  <c r="O40" i="11" s="1"/>
  <c r="I12" i="11"/>
  <c r="M12" i="11" s="1"/>
  <c r="N12" i="11" s="1"/>
  <c r="O12" i="11" s="1"/>
  <c r="I39" i="11"/>
  <c r="M39" i="11" s="1"/>
  <c r="N39" i="11" s="1"/>
  <c r="O39" i="11" s="1"/>
  <c r="I28" i="11"/>
  <c r="M28" i="11" s="1"/>
  <c r="N28" i="11" s="1"/>
  <c r="O28" i="11" s="1"/>
  <c r="I6" i="11"/>
  <c r="M6" i="11" s="1"/>
  <c r="N6" i="11" s="1"/>
  <c r="O6" i="11" s="1"/>
  <c r="I10" i="11"/>
  <c r="M10" i="11" s="1"/>
  <c r="N10" i="11" s="1"/>
  <c r="O10" i="11" s="1"/>
  <c r="I29" i="11"/>
  <c r="M29" i="11" s="1"/>
  <c r="N29" i="11" s="1"/>
  <c r="O29" i="11" s="1"/>
  <c r="I21" i="11"/>
  <c r="M21" i="11" s="1"/>
  <c r="N21" i="11" s="1"/>
  <c r="O21" i="11" s="1"/>
  <c r="I15" i="11"/>
  <c r="M15" i="11" s="1"/>
  <c r="N15" i="11" s="1"/>
  <c r="O15" i="11" s="1"/>
  <c r="I5" i="11"/>
  <c r="M5" i="11" s="1"/>
  <c r="N5" i="11" s="1"/>
  <c r="O5" i="11" s="1"/>
  <c r="I11" i="11"/>
  <c r="M11" i="11" s="1"/>
  <c r="N11" i="11" s="1"/>
  <c r="O11" i="11" s="1"/>
  <c r="I37" i="11"/>
  <c r="M37" i="11" s="1"/>
  <c r="N37" i="11" s="1"/>
  <c r="O37" i="11" s="1"/>
  <c r="G47" i="10"/>
  <c r="I46" i="10"/>
  <c r="M46" i="10" s="1"/>
  <c r="N46" i="10" s="1"/>
  <c r="O46" i="10" s="1"/>
  <c r="I13" i="10"/>
  <c r="M13" i="10" s="1"/>
  <c r="N13" i="10" s="1"/>
  <c r="O13" i="10" s="1"/>
  <c r="I8" i="10"/>
  <c r="M8" i="10" s="1"/>
  <c r="N8" i="10" s="1"/>
  <c r="O8" i="10" s="1"/>
  <c r="I40" i="10"/>
  <c r="M40" i="10" s="1"/>
  <c r="N40" i="10" s="1"/>
  <c r="O40" i="10" s="1"/>
  <c r="I12" i="10"/>
  <c r="M12" i="10" s="1"/>
  <c r="N12" i="10" s="1"/>
  <c r="O12" i="10" s="1"/>
  <c r="I7" i="10"/>
  <c r="M7" i="10" s="1"/>
  <c r="N7" i="10" s="1"/>
  <c r="O7" i="10" s="1"/>
  <c r="I15" i="10"/>
  <c r="M15" i="10" s="1"/>
  <c r="N15" i="10" s="1"/>
  <c r="O15" i="10" s="1"/>
  <c r="I10" i="10"/>
  <c r="M10" i="10" s="1"/>
  <c r="N10" i="10" s="1"/>
  <c r="O10" i="10" s="1"/>
  <c r="I37" i="10"/>
  <c r="M37" i="10" s="1"/>
  <c r="N37" i="10" s="1"/>
  <c r="O37" i="10" s="1"/>
  <c r="I38" i="10"/>
  <c r="M38" i="10" s="1"/>
  <c r="N38" i="10" s="1"/>
  <c r="O38" i="10" s="1"/>
  <c r="I41" i="10"/>
  <c r="M41" i="10" s="1"/>
  <c r="N41" i="10" s="1"/>
  <c r="O41" i="10" s="1"/>
  <c r="I4" i="10"/>
  <c r="I29" i="10"/>
  <c r="M29" i="10" s="1"/>
  <c r="N29" i="10" s="1"/>
  <c r="O29" i="10" s="1"/>
  <c r="I6" i="10"/>
  <c r="M6" i="10" s="1"/>
  <c r="N6" i="10" s="1"/>
  <c r="O6" i="10" s="1"/>
  <c r="I39" i="10"/>
  <c r="M39" i="10" s="1"/>
  <c r="N39" i="10" s="1"/>
  <c r="O39" i="10" s="1"/>
  <c r="I11" i="10"/>
  <c r="M11" i="10" s="1"/>
  <c r="N11" i="10" s="1"/>
  <c r="O11" i="10" s="1"/>
  <c r="I9" i="10"/>
  <c r="M9" i="10" s="1"/>
  <c r="N9" i="10" s="1"/>
  <c r="O9" i="10" s="1"/>
  <c r="I34" i="10"/>
  <c r="M34" i="10" s="1"/>
  <c r="N34" i="10" s="1"/>
  <c r="O34" i="10" s="1"/>
  <c r="I28" i="10"/>
  <c r="M28" i="10" s="1"/>
  <c r="N28" i="10" s="1"/>
  <c r="O28" i="10" s="1"/>
  <c r="I21" i="10"/>
  <c r="M21" i="10" s="1"/>
  <c r="N21" i="10" s="1"/>
  <c r="O21" i="10" s="1"/>
  <c r="I14" i="10"/>
  <c r="M14" i="10" s="1"/>
  <c r="N14" i="10" s="1"/>
  <c r="O14" i="10" s="1"/>
  <c r="I5" i="10"/>
  <c r="M5" i="10" s="1"/>
  <c r="N5" i="10" s="1"/>
  <c r="O5" i="10" s="1"/>
  <c r="C51" i="9"/>
  <c r="E44" i="9" s="1"/>
  <c r="L47" i="9"/>
  <c r="J47" i="9"/>
  <c r="H47" i="9"/>
  <c r="F47" i="9"/>
  <c r="D47" i="9"/>
  <c r="B47" i="9"/>
  <c r="C46" i="9"/>
  <c r="C45" i="9"/>
  <c r="C44" i="9"/>
  <c r="K41" i="9"/>
  <c r="C41" i="9"/>
  <c r="K40" i="9"/>
  <c r="C40" i="9"/>
  <c r="C39" i="9"/>
  <c r="C38" i="9"/>
  <c r="K37" i="9"/>
  <c r="C37" i="9"/>
  <c r="K34" i="9"/>
  <c r="C34" i="9"/>
  <c r="C33" i="9"/>
  <c r="K15" i="9"/>
  <c r="C15" i="9"/>
  <c r="K14" i="9"/>
  <c r="C14" i="9"/>
  <c r="K13" i="9"/>
  <c r="C13" i="9"/>
  <c r="K12" i="9"/>
  <c r="C12" i="9"/>
  <c r="K11" i="9"/>
  <c r="C11" i="9"/>
  <c r="K10" i="9"/>
  <c r="C10" i="9"/>
  <c r="K9" i="9"/>
  <c r="C9" i="9"/>
  <c r="K8" i="9"/>
  <c r="C8" i="9"/>
  <c r="K7" i="9"/>
  <c r="C7" i="9"/>
  <c r="K6" i="9"/>
  <c r="C6" i="9"/>
  <c r="K5" i="9"/>
  <c r="C5" i="9"/>
  <c r="K4" i="9"/>
  <c r="C4" i="9"/>
  <c r="K22" i="4"/>
  <c r="K28" i="4"/>
  <c r="K29" i="4"/>
  <c r="K46" i="4"/>
  <c r="C51" i="8"/>
  <c r="D51" i="8" s="1"/>
  <c r="L47" i="8"/>
  <c r="J47" i="8"/>
  <c r="H47" i="8"/>
  <c r="F47" i="8"/>
  <c r="D47" i="8"/>
  <c r="B47" i="8"/>
  <c r="C46" i="8"/>
  <c r="C45" i="8"/>
  <c r="C44" i="8"/>
  <c r="K41" i="8"/>
  <c r="C41" i="8"/>
  <c r="K40" i="8"/>
  <c r="C40" i="8"/>
  <c r="C39" i="8"/>
  <c r="C38" i="8"/>
  <c r="K37" i="8"/>
  <c r="C37" i="8"/>
  <c r="K34" i="8"/>
  <c r="C34" i="8"/>
  <c r="C33" i="8"/>
  <c r="K15" i="8"/>
  <c r="C15" i="8"/>
  <c r="K14" i="8"/>
  <c r="C14" i="8"/>
  <c r="K13" i="8"/>
  <c r="C13" i="8"/>
  <c r="K12" i="8"/>
  <c r="C12" i="8"/>
  <c r="K11" i="8"/>
  <c r="C11" i="8"/>
  <c r="K10" i="8"/>
  <c r="C10" i="8"/>
  <c r="K9" i="8"/>
  <c r="C9" i="8"/>
  <c r="K8" i="8"/>
  <c r="C8" i="8"/>
  <c r="K7" i="8"/>
  <c r="C7" i="8"/>
  <c r="K6" i="8"/>
  <c r="C6" i="8"/>
  <c r="K5" i="8"/>
  <c r="C5" i="8"/>
  <c r="K4" i="8"/>
  <c r="C4" i="8"/>
  <c r="Q4" i="15" l="1"/>
  <c r="P47" i="15"/>
  <c r="O47" i="14"/>
  <c r="E40" i="9"/>
  <c r="E26" i="9"/>
  <c r="M26" i="9" s="1"/>
  <c r="N26" i="9" s="1"/>
  <c r="O26" i="9" s="1"/>
  <c r="P26" i="9" s="1"/>
  <c r="Q26" i="9" s="1"/>
  <c r="E25" i="9"/>
  <c r="M25" i="9" s="1"/>
  <c r="N25" i="9" s="1"/>
  <c r="O25" i="9" s="1"/>
  <c r="P25" i="9" s="1"/>
  <c r="Q25" i="9" s="1"/>
  <c r="Q4" i="13"/>
  <c r="P47" i="13"/>
  <c r="E38" i="9"/>
  <c r="E19" i="9"/>
  <c r="M19" i="9" s="1"/>
  <c r="N19" i="9" s="1"/>
  <c r="O19" i="9" s="1"/>
  <c r="P19" i="9" s="1"/>
  <c r="Q19" i="9" s="1"/>
  <c r="E33" i="9"/>
  <c r="M33" i="9" s="1"/>
  <c r="N33" i="9" s="1"/>
  <c r="O33" i="9" s="1"/>
  <c r="E4" i="9"/>
  <c r="E6" i="9"/>
  <c r="E8" i="9"/>
  <c r="E10" i="9"/>
  <c r="E12" i="9"/>
  <c r="E14" i="9"/>
  <c r="E23" i="9"/>
  <c r="M23" i="9" s="1"/>
  <c r="N23" i="9" s="1"/>
  <c r="E5" i="9"/>
  <c r="E7" i="9"/>
  <c r="E9" i="9"/>
  <c r="E11" i="9"/>
  <c r="E13" i="9"/>
  <c r="E15" i="9"/>
  <c r="P15" i="11"/>
  <c r="Q15" i="11" s="1"/>
  <c r="P7" i="11"/>
  <c r="Q7" i="11" s="1"/>
  <c r="P38" i="11"/>
  <c r="Q38" i="11" s="1"/>
  <c r="P29" i="11"/>
  <c r="Q29" i="11" s="1"/>
  <c r="P40" i="11"/>
  <c r="Q40" i="11" s="1"/>
  <c r="P8" i="11"/>
  <c r="Q8" i="11" s="1"/>
  <c r="P28" i="11"/>
  <c r="Q28" i="11" s="1"/>
  <c r="P14" i="11"/>
  <c r="Q14" i="11" s="1"/>
  <c r="P37" i="11"/>
  <c r="Q37" i="11" s="1"/>
  <c r="P10" i="11"/>
  <c r="Q10" i="11" s="1"/>
  <c r="P34" i="11"/>
  <c r="Q34" i="11" s="1"/>
  <c r="P11" i="11"/>
  <c r="Q11" i="11" s="1"/>
  <c r="P6" i="11"/>
  <c r="Q6" i="11" s="1"/>
  <c r="P46" i="11"/>
  <c r="Q46" i="11" s="1"/>
  <c r="P13" i="11"/>
  <c r="Q13" i="11" s="1"/>
  <c r="P5" i="11"/>
  <c r="Q5" i="11" s="1"/>
  <c r="P9" i="11"/>
  <c r="Q9" i="11" s="1"/>
  <c r="P39" i="11"/>
  <c r="Q39" i="11" s="1"/>
  <c r="P21" i="11"/>
  <c r="Q21" i="11" s="1"/>
  <c r="P12" i="11"/>
  <c r="Q12" i="11" s="1"/>
  <c r="P41" i="11"/>
  <c r="Q41" i="11" s="1"/>
  <c r="P40" i="10"/>
  <c r="Q40" i="10" s="1"/>
  <c r="P39" i="10"/>
  <c r="Q39" i="10" s="1"/>
  <c r="P21" i="10"/>
  <c r="Q21" i="10" s="1"/>
  <c r="P6" i="10"/>
  <c r="Q6" i="10" s="1"/>
  <c r="P10" i="10"/>
  <c r="Q10" i="10" s="1"/>
  <c r="P13" i="10"/>
  <c r="Q13" i="10" s="1"/>
  <c r="P11" i="10"/>
  <c r="Q11" i="10" s="1"/>
  <c r="P28" i="10"/>
  <c r="Q28" i="10" s="1"/>
  <c r="P29" i="10"/>
  <c r="Q29" i="10" s="1"/>
  <c r="P15" i="10"/>
  <c r="Q15" i="10" s="1"/>
  <c r="P46" i="10"/>
  <c r="Q46" i="10" s="1"/>
  <c r="P38" i="10"/>
  <c r="Q38" i="10" s="1"/>
  <c r="P34" i="10"/>
  <c r="Q34" i="10" s="1"/>
  <c r="P7" i="10"/>
  <c r="Q7" i="10" s="1"/>
  <c r="P5" i="10"/>
  <c r="Q5" i="10" s="1"/>
  <c r="P9" i="10"/>
  <c r="Q9" i="10" s="1"/>
  <c r="P41" i="10"/>
  <c r="Q41" i="10" s="1"/>
  <c r="P12" i="10"/>
  <c r="Q12" i="10" s="1"/>
  <c r="P14" i="10"/>
  <c r="Q14" i="10" s="1"/>
  <c r="P37" i="10"/>
  <c r="Q37" i="10" s="1"/>
  <c r="P8" i="10"/>
  <c r="Q8" i="10" s="1"/>
  <c r="E20" i="9"/>
  <c r="M20" i="9" s="1"/>
  <c r="N20" i="9" s="1"/>
  <c r="O20" i="9" s="1"/>
  <c r="P20" i="9" s="1"/>
  <c r="Q20" i="9" s="1"/>
  <c r="E27" i="9"/>
  <c r="E34" i="9"/>
  <c r="E21" i="9"/>
  <c r="E28" i="9"/>
  <c r="E39" i="9"/>
  <c r="E22" i="9"/>
  <c r="M22" i="9" s="1"/>
  <c r="N22" i="9" s="1"/>
  <c r="O22" i="9" s="1"/>
  <c r="P22" i="9" s="1"/>
  <c r="Q22" i="9" s="1"/>
  <c r="E29" i="9"/>
  <c r="E18" i="9"/>
  <c r="E24" i="9"/>
  <c r="M24" i="9" s="1"/>
  <c r="N24" i="9" s="1"/>
  <c r="E37" i="9"/>
  <c r="M4" i="11"/>
  <c r="N4" i="11" s="1"/>
  <c r="O4" i="11" s="1"/>
  <c r="P4" i="11" s="1"/>
  <c r="I47" i="11"/>
  <c r="M47" i="11" s="1"/>
  <c r="N47" i="11" s="1"/>
  <c r="M4" i="10"/>
  <c r="N4" i="10" s="1"/>
  <c r="O4" i="10" s="1"/>
  <c r="P4" i="10" s="1"/>
  <c r="I47" i="10"/>
  <c r="M47" i="10" s="1"/>
  <c r="N47" i="10" s="1"/>
  <c r="E46" i="9"/>
  <c r="E45" i="9"/>
  <c r="M45" i="9" s="1"/>
  <c r="N45" i="9" s="1"/>
  <c r="M44" i="9"/>
  <c r="N44" i="9" s="1"/>
  <c r="O44" i="9" s="1"/>
  <c r="D51" i="9"/>
  <c r="G39" i="9" s="1"/>
  <c r="C47" i="9"/>
  <c r="E21" i="8"/>
  <c r="E14" i="8"/>
  <c r="E10" i="8"/>
  <c r="E38" i="8"/>
  <c r="E8" i="8"/>
  <c r="E25" i="8"/>
  <c r="M25" i="8" s="1"/>
  <c r="N25" i="8" s="1"/>
  <c r="O25" i="8" s="1"/>
  <c r="E34" i="8"/>
  <c r="E6" i="8"/>
  <c r="E18" i="8"/>
  <c r="E26" i="8"/>
  <c r="M26" i="8" s="1"/>
  <c r="N26" i="8" s="1"/>
  <c r="O26" i="8" s="1"/>
  <c r="E39" i="8"/>
  <c r="E4" i="8"/>
  <c r="E19" i="8"/>
  <c r="M19" i="8" s="1"/>
  <c r="N19" i="8" s="1"/>
  <c r="O19" i="8" s="1"/>
  <c r="E29" i="8"/>
  <c r="E12" i="8"/>
  <c r="E23" i="8"/>
  <c r="M23" i="8" s="1"/>
  <c r="N23" i="8" s="1"/>
  <c r="O23" i="8" s="1"/>
  <c r="E33" i="8"/>
  <c r="M33" i="8" s="1"/>
  <c r="N33" i="8" s="1"/>
  <c r="O33" i="8" s="1"/>
  <c r="C47" i="8"/>
  <c r="E46" i="8"/>
  <c r="E30" i="9"/>
  <c r="M30" i="9" s="1"/>
  <c r="N30" i="9" s="1"/>
  <c r="O30" i="9" s="1"/>
  <c r="E41" i="9"/>
  <c r="K47" i="9"/>
  <c r="K47" i="8"/>
  <c r="E22" i="8"/>
  <c r="M22" i="8" s="1"/>
  <c r="N22" i="8" s="1"/>
  <c r="O22" i="8" s="1"/>
  <c r="E37" i="8"/>
  <c r="E24" i="8"/>
  <c r="M24" i="8" s="1"/>
  <c r="N24" i="8" s="1"/>
  <c r="O24" i="8" s="1"/>
  <c r="E27" i="8"/>
  <c r="E40" i="8"/>
  <c r="E45" i="8"/>
  <c r="M45" i="8" s="1"/>
  <c r="N45" i="8" s="1"/>
  <c r="O45" i="8" s="1"/>
  <c r="E5" i="8"/>
  <c r="E7" i="8"/>
  <c r="E9" i="8"/>
  <c r="E11" i="8"/>
  <c r="E13" i="8"/>
  <c r="E15" i="8"/>
  <c r="E20" i="8"/>
  <c r="M20" i="8" s="1"/>
  <c r="N20" i="8" s="1"/>
  <c r="O20" i="8" s="1"/>
  <c r="E28" i="8"/>
  <c r="G14" i="8"/>
  <c r="G11" i="8"/>
  <c r="G8" i="8"/>
  <c r="G5" i="8"/>
  <c r="E51" i="8"/>
  <c r="G40" i="8"/>
  <c r="G38" i="8"/>
  <c r="G27" i="8"/>
  <c r="M27" i="8" s="1"/>
  <c r="N27" i="8" s="1"/>
  <c r="O27" i="8" s="1"/>
  <c r="G15" i="8"/>
  <c r="G12" i="8"/>
  <c r="G9" i="8"/>
  <c r="G6" i="8"/>
  <c r="G41" i="8"/>
  <c r="G18" i="8"/>
  <c r="G39" i="8"/>
  <c r="G13" i="8"/>
  <c r="G10" i="8"/>
  <c r="G7" i="8"/>
  <c r="G4" i="8"/>
  <c r="G37" i="8"/>
  <c r="G34" i="8"/>
  <c r="G29" i="8"/>
  <c r="E30" i="8"/>
  <c r="M30" i="8" s="1"/>
  <c r="N30" i="8" s="1"/>
  <c r="O30" i="8" s="1"/>
  <c r="E41" i="8"/>
  <c r="E44" i="8"/>
  <c r="M44" i="8" s="1"/>
  <c r="N44" i="8" s="1"/>
  <c r="O44" i="8" s="1"/>
  <c r="C51" i="4"/>
  <c r="D51" i="4" s="1"/>
  <c r="E51" i="4" s="1"/>
  <c r="N3" i="11" l="1"/>
  <c r="B55" i="15"/>
  <c r="Q47" i="15"/>
  <c r="P47" i="14"/>
  <c r="Q4" i="14"/>
  <c r="O45" i="9"/>
  <c r="P45" i="9" s="1"/>
  <c r="Q45" i="9" s="1"/>
  <c r="O23" i="9"/>
  <c r="P23" i="9" s="1"/>
  <c r="Q23" i="9" s="1"/>
  <c r="O24" i="9"/>
  <c r="P24" i="9" s="1"/>
  <c r="Q24" i="9" s="1"/>
  <c r="P23" i="8"/>
  <c r="Q23" i="8" s="1"/>
  <c r="P19" i="8"/>
  <c r="Q19" i="8" s="1"/>
  <c r="M18" i="8"/>
  <c r="N18" i="8" s="1"/>
  <c r="P25" i="8"/>
  <c r="Q25" i="8" s="1"/>
  <c r="P33" i="8"/>
  <c r="Q33" i="8" s="1"/>
  <c r="P26" i="8"/>
  <c r="Q26" i="8" s="1"/>
  <c r="B55" i="13"/>
  <c r="Q47" i="13"/>
  <c r="N3" i="10"/>
  <c r="P30" i="9"/>
  <c r="Q30" i="9" s="1"/>
  <c r="E51" i="9"/>
  <c r="G38" i="9"/>
  <c r="G14" i="9"/>
  <c r="G11" i="9"/>
  <c r="G8" i="9"/>
  <c r="G5" i="9"/>
  <c r="G40" i="9"/>
  <c r="G29" i="9"/>
  <c r="G34" i="9"/>
  <c r="G15" i="9"/>
  <c r="G12" i="9"/>
  <c r="G9" i="9"/>
  <c r="G6" i="9"/>
  <c r="G41" i="9"/>
  <c r="G37" i="9"/>
  <c r="G27" i="9"/>
  <c r="M27" i="9" s="1"/>
  <c r="N27" i="9" s="1"/>
  <c r="O27" i="9" s="1"/>
  <c r="G13" i="9"/>
  <c r="G10" i="9"/>
  <c r="G7" i="9"/>
  <c r="G4" i="9"/>
  <c r="G18" i="9"/>
  <c r="M18" i="9" s="1"/>
  <c r="N18" i="9" s="1"/>
  <c r="O18" i="9" s="1"/>
  <c r="P33" i="9"/>
  <c r="Q33" i="9" s="1"/>
  <c r="P44" i="9"/>
  <c r="Q44" i="9" s="1"/>
  <c r="P22" i="8"/>
  <c r="Q22" i="8" s="1"/>
  <c r="P24" i="8"/>
  <c r="Q24" i="8" s="1"/>
  <c r="E47" i="9"/>
  <c r="P27" i="8"/>
  <c r="Q27" i="8" s="1"/>
  <c r="P44" i="8"/>
  <c r="Q44" i="8" s="1"/>
  <c r="P30" i="8"/>
  <c r="Q30" i="8" s="1"/>
  <c r="P20" i="8"/>
  <c r="Q20" i="8" s="1"/>
  <c r="P45" i="8"/>
  <c r="Q45" i="8" s="1"/>
  <c r="G47" i="8"/>
  <c r="I40" i="8"/>
  <c r="M40" i="8" s="1"/>
  <c r="N40" i="8" s="1"/>
  <c r="O40" i="8" s="1"/>
  <c r="I38" i="8"/>
  <c r="M38" i="8" s="1"/>
  <c r="N38" i="8" s="1"/>
  <c r="O38" i="8" s="1"/>
  <c r="I28" i="8"/>
  <c r="M28" i="8" s="1"/>
  <c r="N28" i="8" s="1"/>
  <c r="O28" i="8" s="1"/>
  <c r="I46" i="8"/>
  <c r="M46" i="8" s="1"/>
  <c r="N46" i="8" s="1"/>
  <c r="O46" i="8" s="1"/>
  <c r="I15" i="8"/>
  <c r="M15" i="8" s="1"/>
  <c r="N15" i="8" s="1"/>
  <c r="O15" i="8" s="1"/>
  <c r="I12" i="8"/>
  <c r="M12" i="8" s="1"/>
  <c r="N12" i="8" s="1"/>
  <c r="O12" i="8" s="1"/>
  <c r="I9" i="8"/>
  <c r="M9" i="8" s="1"/>
  <c r="N9" i="8" s="1"/>
  <c r="O9" i="8" s="1"/>
  <c r="I6" i="8"/>
  <c r="M6" i="8" s="1"/>
  <c r="N6" i="8" s="1"/>
  <c r="O6" i="8" s="1"/>
  <c r="I41" i="8"/>
  <c r="M41" i="8" s="1"/>
  <c r="N41" i="8" s="1"/>
  <c r="O41" i="8" s="1"/>
  <c r="I21" i="8"/>
  <c r="M21" i="8" s="1"/>
  <c r="N21" i="8" s="1"/>
  <c r="O21" i="8" s="1"/>
  <c r="I5" i="8"/>
  <c r="M5" i="8" s="1"/>
  <c r="N5" i="8" s="1"/>
  <c r="O5" i="8" s="1"/>
  <c r="I39" i="8"/>
  <c r="M39" i="8" s="1"/>
  <c r="N39" i="8" s="1"/>
  <c r="O39" i="8" s="1"/>
  <c r="I13" i="8"/>
  <c r="M13" i="8" s="1"/>
  <c r="N13" i="8" s="1"/>
  <c r="O13" i="8" s="1"/>
  <c r="I10" i="8"/>
  <c r="M10" i="8" s="1"/>
  <c r="N10" i="8" s="1"/>
  <c r="O10" i="8" s="1"/>
  <c r="I7" i="8"/>
  <c r="M7" i="8" s="1"/>
  <c r="N7" i="8" s="1"/>
  <c r="O7" i="8" s="1"/>
  <c r="I4" i="8"/>
  <c r="I14" i="8"/>
  <c r="M14" i="8" s="1"/>
  <c r="N14" i="8" s="1"/>
  <c r="O14" i="8" s="1"/>
  <c r="I37" i="8"/>
  <c r="M37" i="8" s="1"/>
  <c r="N37" i="8" s="1"/>
  <c r="O37" i="8" s="1"/>
  <c r="I34" i="8"/>
  <c r="M34" i="8" s="1"/>
  <c r="N34" i="8" s="1"/>
  <c r="O34" i="8" s="1"/>
  <c r="I29" i="8"/>
  <c r="M29" i="8" s="1"/>
  <c r="N29" i="8" s="1"/>
  <c r="O29" i="8" s="1"/>
  <c r="I11" i="8"/>
  <c r="M11" i="8" s="1"/>
  <c r="N11" i="8" s="1"/>
  <c r="O11" i="8" s="1"/>
  <c r="I8" i="8"/>
  <c r="M8" i="8" s="1"/>
  <c r="N8" i="8" s="1"/>
  <c r="O8" i="8" s="1"/>
  <c r="E47" i="8"/>
  <c r="B55" i="14" l="1"/>
  <c r="Q47" i="14"/>
  <c r="O18" i="8"/>
  <c r="P18" i="8" s="1"/>
  <c r="Q18" i="8" s="1"/>
  <c r="O47" i="11"/>
  <c r="O47" i="10"/>
  <c r="P18" i="9"/>
  <c r="Q18" i="9" s="1"/>
  <c r="G47" i="9"/>
  <c r="P27" i="9"/>
  <c r="Q27" i="9" s="1"/>
  <c r="I46" i="9"/>
  <c r="M46" i="9" s="1"/>
  <c r="N46" i="9" s="1"/>
  <c r="O46" i="9" s="1"/>
  <c r="I21" i="9"/>
  <c r="M21" i="9" s="1"/>
  <c r="N21" i="9" s="1"/>
  <c r="O21" i="9" s="1"/>
  <c r="I4" i="9"/>
  <c r="I8" i="9"/>
  <c r="M8" i="9" s="1"/>
  <c r="N8" i="9" s="1"/>
  <c r="O8" i="9" s="1"/>
  <c r="I7" i="9"/>
  <c r="M7" i="9" s="1"/>
  <c r="N7" i="9" s="1"/>
  <c r="O7" i="9" s="1"/>
  <c r="I15" i="9"/>
  <c r="M15" i="9" s="1"/>
  <c r="N15" i="9" s="1"/>
  <c r="O15" i="9" s="1"/>
  <c r="I14" i="9"/>
  <c r="M14" i="9" s="1"/>
  <c r="N14" i="9" s="1"/>
  <c r="O14" i="9" s="1"/>
  <c r="I11" i="9"/>
  <c r="M11" i="9" s="1"/>
  <c r="N11" i="9" s="1"/>
  <c r="O11" i="9" s="1"/>
  <c r="I12" i="9"/>
  <c r="M12" i="9" s="1"/>
  <c r="N12" i="9" s="1"/>
  <c r="O12" i="9" s="1"/>
  <c r="I39" i="9"/>
  <c r="M39" i="9" s="1"/>
  <c r="N39" i="9" s="1"/>
  <c r="O39" i="9" s="1"/>
  <c r="I5" i="9"/>
  <c r="M5" i="9" s="1"/>
  <c r="N5" i="9" s="1"/>
  <c r="O5" i="9" s="1"/>
  <c r="I41" i="9"/>
  <c r="M41" i="9" s="1"/>
  <c r="N41" i="9" s="1"/>
  <c r="O41" i="9" s="1"/>
  <c r="I40" i="9"/>
  <c r="M40" i="9" s="1"/>
  <c r="N40" i="9" s="1"/>
  <c r="O40" i="9" s="1"/>
  <c r="I9" i="9"/>
  <c r="M9" i="9" s="1"/>
  <c r="N9" i="9" s="1"/>
  <c r="O9" i="9" s="1"/>
  <c r="I13" i="9"/>
  <c r="M13" i="9" s="1"/>
  <c r="N13" i="9" s="1"/>
  <c r="O13" i="9" s="1"/>
  <c r="I37" i="9"/>
  <c r="M37" i="9" s="1"/>
  <c r="N37" i="9" s="1"/>
  <c r="O37" i="9" s="1"/>
  <c r="I29" i="9"/>
  <c r="M29" i="9" s="1"/>
  <c r="N29" i="9" s="1"/>
  <c r="O29" i="9" s="1"/>
  <c r="I38" i="9"/>
  <c r="M38" i="9" s="1"/>
  <c r="N38" i="9" s="1"/>
  <c r="O38" i="9" s="1"/>
  <c r="I6" i="9"/>
  <c r="M6" i="9" s="1"/>
  <c r="N6" i="9" s="1"/>
  <c r="O6" i="9" s="1"/>
  <c r="I10" i="9"/>
  <c r="M10" i="9" s="1"/>
  <c r="N10" i="9" s="1"/>
  <c r="O10" i="9" s="1"/>
  <c r="I34" i="9"/>
  <c r="M34" i="9" s="1"/>
  <c r="N34" i="9" s="1"/>
  <c r="O34" i="9" s="1"/>
  <c r="I28" i="9"/>
  <c r="M28" i="9" s="1"/>
  <c r="N28" i="9" s="1"/>
  <c r="O28" i="9" s="1"/>
  <c r="P11" i="8"/>
  <c r="Q11" i="8" s="1"/>
  <c r="P7" i="8"/>
  <c r="Q7" i="8" s="1"/>
  <c r="P41" i="8"/>
  <c r="Q41" i="8" s="1"/>
  <c r="P28" i="8"/>
  <c r="Q28" i="8" s="1"/>
  <c r="P29" i="8"/>
  <c r="Q29" i="8" s="1"/>
  <c r="P10" i="8"/>
  <c r="Q10" i="8" s="1"/>
  <c r="P6" i="8"/>
  <c r="Q6" i="8" s="1"/>
  <c r="P38" i="8"/>
  <c r="Q38" i="8" s="1"/>
  <c r="P34" i="8"/>
  <c r="Q34" i="8" s="1"/>
  <c r="P13" i="8"/>
  <c r="Q13" i="8" s="1"/>
  <c r="P9" i="8"/>
  <c r="Q9" i="8" s="1"/>
  <c r="P40" i="8"/>
  <c r="Q40" i="8" s="1"/>
  <c r="P37" i="8"/>
  <c r="Q37" i="8" s="1"/>
  <c r="P39" i="8"/>
  <c r="Q39" i="8" s="1"/>
  <c r="P12" i="8"/>
  <c r="Q12" i="8" s="1"/>
  <c r="P14" i="8"/>
  <c r="Q14" i="8" s="1"/>
  <c r="P5" i="8"/>
  <c r="Q5" i="8" s="1"/>
  <c r="P15" i="8"/>
  <c r="Q15" i="8" s="1"/>
  <c r="P8" i="8"/>
  <c r="Q8" i="8" s="1"/>
  <c r="P21" i="8"/>
  <c r="Q21" i="8" s="1"/>
  <c r="P46" i="8"/>
  <c r="Q46" i="8" s="1"/>
  <c r="I47" i="8"/>
  <c r="M47" i="8" s="1"/>
  <c r="N47" i="8" s="1"/>
  <c r="M4" i="8"/>
  <c r="N4" i="8" s="1"/>
  <c r="O4" i="8" s="1"/>
  <c r="P4" i="8" s="1"/>
  <c r="L47" i="4"/>
  <c r="J47" i="4"/>
  <c r="H47" i="4"/>
  <c r="F47" i="4"/>
  <c r="D47" i="4"/>
  <c r="B47" i="4"/>
  <c r="C46" i="4"/>
  <c r="C45" i="4"/>
  <c r="C44" i="4"/>
  <c r="C41" i="4"/>
  <c r="K40" i="4"/>
  <c r="C40" i="4"/>
  <c r="C39" i="4"/>
  <c r="C38" i="4"/>
  <c r="C37" i="4"/>
  <c r="C34" i="4"/>
  <c r="C33" i="4"/>
  <c r="E18" i="4"/>
  <c r="K15" i="4"/>
  <c r="E15" i="4"/>
  <c r="C15" i="4"/>
  <c r="K14" i="4"/>
  <c r="C14" i="4"/>
  <c r="K13" i="4"/>
  <c r="C13" i="4"/>
  <c r="K12" i="4"/>
  <c r="C12" i="4"/>
  <c r="K11" i="4"/>
  <c r="C11" i="4"/>
  <c r="K10" i="4"/>
  <c r="C10" i="4"/>
  <c r="K9" i="4"/>
  <c r="E9" i="4"/>
  <c r="C9" i="4"/>
  <c r="K8" i="4"/>
  <c r="C8" i="4"/>
  <c r="K7" i="4"/>
  <c r="E7" i="4"/>
  <c r="C7" i="4"/>
  <c r="K6" i="4"/>
  <c r="E6" i="4"/>
  <c r="C6" i="4"/>
  <c r="K5" i="4"/>
  <c r="E5" i="4"/>
  <c r="C5" i="4"/>
  <c r="K4" i="4"/>
  <c r="E4" i="4"/>
  <c r="C4" i="4"/>
  <c r="Q4" i="11" l="1"/>
  <c r="P47" i="11"/>
  <c r="P47" i="10"/>
  <c r="Q4" i="10"/>
  <c r="P34" i="9"/>
  <c r="Q34" i="9" s="1"/>
  <c r="P13" i="9"/>
  <c r="Q13" i="9" s="1"/>
  <c r="P12" i="9"/>
  <c r="Q12" i="9" s="1"/>
  <c r="I47" i="9"/>
  <c r="M47" i="9" s="1"/>
  <c r="N47" i="9" s="1"/>
  <c r="M4" i="9"/>
  <c r="N4" i="9" s="1"/>
  <c r="O4" i="9" s="1"/>
  <c r="P4" i="9" s="1"/>
  <c r="P11" i="9"/>
  <c r="Q11" i="9" s="1"/>
  <c r="P21" i="9"/>
  <c r="Q21" i="9" s="1"/>
  <c r="P6" i="9"/>
  <c r="Q6" i="9" s="1"/>
  <c r="P40" i="9"/>
  <c r="Q40" i="9" s="1"/>
  <c r="P14" i="9"/>
  <c r="Q14" i="9" s="1"/>
  <c r="P46" i="9"/>
  <c r="Q46" i="9" s="1"/>
  <c r="P9" i="9"/>
  <c r="Q9" i="9" s="1"/>
  <c r="P38" i="9"/>
  <c r="Q38" i="9" s="1"/>
  <c r="P41" i="9"/>
  <c r="Q41" i="9" s="1"/>
  <c r="P15" i="9"/>
  <c r="Q15" i="9" s="1"/>
  <c r="P29" i="9"/>
  <c r="Q29" i="9" s="1"/>
  <c r="P5" i="9"/>
  <c r="Q5" i="9" s="1"/>
  <c r="P7" i="9"/>
  <c r="Q7" i="9" s="1"/>
  <c r="P10" i="9"/>
  <c r="Q10" i="9" s="1"/>
  <c r="P28" i="9"/>
  <c r="Q28" i="9" s="1"/>
  <c r="P37" i="9"/>
  <c r="Q37" i="9" s="1"/>
  <c r="P39" i="9"/>
  <c r="Q39" i="9" s="1"/>
  <c r="P8" i="9"/>
  <c r="Q8" i="9" s="1"/>
  <c r="E38" i="4"/>
  <c r="E28" i="4"/>
  <c r="E41" i="4"/>
  <c r="E40" i="4"/>
  <c r="E21" i="4"/>
  <c r="E46" i="4"/>
  <c r="E27" i="4"/>
  <c r="E20" i="4"/>
  <c r="M20" i="4" s="1"/>
  <c r="N20" i="4" s="1"/>
  <c r="O20" i="4" s="1"/>
  <c r="E12" i="4"/>
  <c r="E26" i="4"/>
  <c r="M26" i="4" s="1"/>
  <c r="N26" i="4" s="1"/>
  <c r="O26" i="4" s="1"/>
  <c r="E29" i="4"/>
  <c r="E39" i="4"/>
  <c r="E45" i="4"/>
  <c r="M45" i="4" s="1"/>
  <c r="N45" i="4" s="1"/>
  <c r="O45" i="4" s="1"/>
  <c r="E8" i="4"/>
  <c r="E10" i="4"/>
  <c r="E23" i="4"/>
  <c r="M23" i="4" s="1"/>
  <c r="N23" i="4" s="1"/>
  <c r="O23" i="4" s="1"/>
  <c r="E37" i="4"/>
  <c r="E13" i="4"/>
  <c r="E24" i="4"/>
  <c r="M24" i="4" s="1"/>
  <c r="N24" i="4" s="1"/>
  <c r="O24" i="4" s="1"/>
  <c r="E33" i="4"/>
  <c r="M33" i="4" s="1"/>
  <c r="N33" i="4" s="1"/>
  <c r="O33" i="4" s="1"/>
  <c r="G41" i="4"/>
  <c r="G12" i="4"/>
  <c r="G10" i="4"/>
  <c r="G7" i="4"/>
  <c r="G4" i="4"/>
  <c r="G39" i="4"/>
  <c r="G27" i="4"/>
  <c r="G15" i="4"/>
  <c r="G9" i="4"/>
  <c r="G6" i="4"/>
  <c r="G18" i="4"/>
  <c r="M18" i="4" s="1"/>
  <c r="N18" i="4" s="1"/>
  <c r="O18" i="4" s="1"/>
  <c r="G29" i="4"/>
  <c r="G13" i="4"/>
  <c r="G14" i="4"/>
  <c r="G11" i="4"/>
  <c r="G8" i="4"/>
  <c r="G5" i="4"/>
  <c r="E44" i="4"/>
  <c r="M44" i="4" s="1"/>
  <c r="N44" i="4" s="1"/>
  <c r="O44" i="4" s="1"/>
  <c r="E11" i="4"/>
  <c r="E14" i="4"/>
  <c r="E19" i="4"/>
  <c r="M19" i="4" s="1"/>
  <c r="N19" i="4" s="1"/>
  <c r="O19" i="4" s="1"/>
  <c r="E22" i="4"/>
  <c r="M22" i="4" s="1"/>
  <c r="N22" i="4" s="1"/>
  <c r="O22" i="4" s="1"/>
  <c r="E25" i="4"/>
  <c r="M25" i="4" s="1"/>
  <c r="N25" i="4" s="1"/>
  <c r="O25" i="4" s="1"/>
  <c r="E30" i="4"/>
  <c r="M30" i="4" s="1"/>
  <c r="N30" i="4" s="1"/>
  <c r="O30" i="4" s="1"/>
  <c r="E34" i="4"/>
  <c r="C47" i="4"/>
  <c r="K47" i="4"/>
  <c r="G38" i="4"/>
  <c r="G40" i="4"/>
  <c r="G34" i="4"/>
  <c r="G37" i="4"/>
  <c r="B55" i="11" l="1"/>
  <c r="Q47" i="11"/>
  <c r="B55" i="10"/>
  <c r="Q47" i="10"/>
  <c r="N3" i="9"/>
  <c r="O47" i="8"/>
  <c r="P23" i="4"/>
  <c r="Q23" i="4" s="1"/>
  <c r="P20" i="4"/>
  <c r="Q20" i="4" s="1"/>
  <c r="M27" i="4"/>
  <c r="N27" i="4" s="1"/>
  <c r="O27" i="4" s="1"/>
  <c r="P25" i="4"/>
  <c r="Q25" i="4" s="1"/>
  <c r="P22" i="4"/>
  <c r="Q22" i="4" s="1"/>
  <c r="P44" i="4"/>
  <c r="Q44" i="4" s="1"/>
  <c r="P18" i="4"/>
  <c r="Q18" i="4" s="1"/>
  <c r="P33" i="4"/>
  <c r="Q33" i="4" s="1"/>
  <c r="P26" i="4"/>
  <c r="Q26" i="4" s="1"/>
  <c r="P24" i="4"/>
  <c r="Q24" i="4" s="1"/>
  <c r="P19" i="4"/>
  <c r="Q19" i="4" s="1"/>
  <c r="P45" i="4"/>
  <c r="Q45" i="4" s="1"/>
  <c r="E47" i="4"/>
  <c r="P30" i="4"/>
  <c r="Q30" i="4" s="1"/>
  <c r="G47" i="4"/>
  <c r="I41" i="4"/>
  <c r="M41" i="4" s="1"/>
  <c r="N41" i="4" s="1"/>
  <c r="O41" i="4" s="1"/>
  <c r="I46" i="4"/>
  <c r="M46" i="4" s="1"/>
  <c r="N46" i="4" s="1"/>
  <c r="O46" i="4" s="1"/>
  <c r="I39" i="4"/>
  <c r="M39" i="4" s="1"/>
  <c r="N39" i="4" s="1"/>
  <c r="O39" i="4" s="1"/>
  <c r="I13" i="4"/>
  <c r="M13" i="4" s="1"/>
  <c r="N13" i="4" s="1"/>
  <c r="O13" i="4" s="1"/>
  <c r="I10" i="4"/>
  <c r="M10" i="4" s="1"/>
  <c r="N10" i="4" s="1"/>
  <c r="O10" i="4" s="1"/>
  <c r="I7" i="4"/>
  <c r="M7" i="4" s="1"/>
  <c r="N7" i="4" s="1"/>
  <c r="O7" i="4" s="1"/>
  <c r="I4" i="4"/>
  <c r="I37" i="4"/>
  <c r="M37" i="4" s="1"/>
  <c r="N37" i="4" s="1"/>
  <c r="O37" i="4" s="1"/>
  <c r="I34" i="4"/>
  <c r="M34" i="4" s="1"/>
  <c r="N34" i="4" s="1"/>
  <c r="O34" i="4" s="1"/>
  <c r="I29" i="4"/>
  <c r="M29" i="4" s="1"/>
  <c r="N29" i="4" s="1"/>
  <c r="O29" i="4" s="1"/>
  <c r="I21" i="4"/>
  <c r="M21" i="4" s="1"/>
  <c r="N21" i="4" s="1"/>
  <c r="O21" i="4" s="1"/>
  <c r="I14" i="4"/>
  <c r="M14" i="4" s="1"/>
  <c r="N14" i="4" s="1"/>
  <c r="O14" i="4" s="1"/>
  <c r="I11" i="4"/>
  <c r="M11" i="4" s="1"/>
  <c r="N11" i="4" s="1"/>
  <c r="O11" i="4" s="1"/>
  <c r="I8" i="4"/>
  <c r="M8" i="4" s="1"/>
  <c r="N8" i="4" s="1"/>
  <c r="O8" i="4" s="1"/>
  <c r="I5" i="4"/>
  <c r="M5" i="4" s="1"/>
  <c r="N5" i="4" s="1"/>
  <c r="O5" i="4" s="1"/>
  <c r="I40" i="4"/>
  <c r="M40" i="4" s="1"/>
  <c r="N40" i="4" s="1"/>
  <c r="O40" i="4" s="1"/>
  <c r="I38" i="4"/>
  <c r="M38" i="4" s="1"/>
  <c r="N38" i="4" s="1"/>
  <c r="O38" i="4" s="1"/>
  <c r="I15" i="4"/>
  <c r="M15" i="4" s="1"/>
  <c r="N15" i="4" s="1"/>
  <c r="O15" i="4" s="1"/>
  <c r="I12" i="4"/>
  <c r="M12" i="4" s="1"/>
  <c r="N12" i="4" s="1"/>
  <c r="O12" i="4" s="1"/>
  <c r="I9" i="4"/>
  <c r="M9" i="4" s="1"/>
  <c r="N9" i="4" s="1"/>
  <c r="O9" i="4" s="1"/>
  <c r="I6" i="4"/>
  <c r="M6" i="4" s="1"/>
  <c r="N6" i="4" s="1"/>
  <c r="O6" i="4" s="1"/>
  <c r="I28" i="4"/>
  <c r="M28" i="4" s="1"/>
  <c r="N28" i="4" s="1"/>
  <c r="O28" i="4" s="1"/>
  <c r="O47" i="9" l="1"/>
  <c r="N17" i="4"/>
  <c r="O17" i="4" s="1"/>
  <c r="Q4" i="8"/>
  <c r="P47" i="8"/>
  <c r="P27" i="4"/>
  <c r="Q27" i="4" s="1"/>
  <c r="P15" i="4"/>
  <c r="Q15" i="4" s="1"/>
  <c r="P14" i="4"/>
  <c r="Q14" i="4" s="1"/>
  <c r="P7" i="4"/>
  <c r="Q7" i="4" s="1"/>
  <c r="P38" i="4"/>
  <c r="Q38" i="4" s="1"/>
  <c r="P21" i="4"/>
  <c r="Q21" i="4" s="1"/>
  <c r="P29" i="4"/>
  <c r="Q29" i="4" s="1"/>
  <c r="P5" i="4"/>
  <c r="Q5" i="4" s="1"/>
  <c r="P34" i="4"/>
  <c r="Q34" i="4" s="1"/>
  <c r="P39" i="4"/>
  <c r="Q39" i="4" s="1"/>
  <c r="P10" i="4"/>
  <c r="Q10" i="4" s="1"/>
  <c r="P41" i="4"/>
  <c r="Q41" i="4" s="1"/>
  <c r="P13" i="4"/>
  <c r="Q13" i="4" s="1"/>
  <c r="P8" i="4"/>
  <c r="Q8" i="4" s="1"/>
  <c r="P46" i="4"/>
  <c r="Q46" i="4" s="1"/>
  <c r="P28" i="4"/>
  <c r="Q28" i="4" s="1"/>
  <c r="P40" i="4"/>
  <c r="Q40" i="4" s="1"/>
  <c r="P6" i="4"/>
  <c r="Q6" i="4" s="1"/>
  <c r="P9" i="4"/>
  <c r="Q9" i="4" s="1"/>
  <c r="P37" i="4"/>
  <c r="Q37" i="4" s="1"/>
  <c r="P12" i="4"/>
  <c r="Q12" i="4" s="1"/>
  <c r="P11" i="4"/>
  <c r="Q11" i="4" s="1"/>
  <c r="I47" i="4"/>
  <c r="M47" i="4" s="1"/>
  <c r="N47" i="4" s="1"/>
  <c r="M4" i="4"/>
  <c r="N4" i="4" s="1"/>
  <c r="O4" i="4" s="1"/>
  <c r="P4" i="4" s="1"/>
  <c r="Q4" i="9" l="1"/>
  <c r="P47" i="9"/>
  <c r="N3" i="4"/>
  <c r="B55" i="8"/>
  <c r="Q47" i="8"/>
  <c r="B55" i="9" l="1"/>
  <c r="Q47" i="9"/>
  <c r="O47" i="4"/>
  <c r="P47" i="4" l="1"/>
  <c r="B55" i="4" s="1"/>
  <c r="Q4" i="4"/>
  <c r="Q47" i="4" l="1"/>
</calcChain>
</file>

<file path=xl/sharedStrings.xml><?xml version="1.0" encoding="utf-8"?>
<sst xmlns="http://schemas.openxmlformats.org/spreadsheetml/2006/main" count="638" uniqueCount="91">
  <si>
    <t>2-Year Public</t>
  </si>
  <si>
    <t>Aims Community College</t>
  </si>
  <si>
    <t>Arapahoe Community College</t>
  </si>
  <si>
    <t>Colorado Northwestern Community College</t>
  </si>
  <si>
    <t>Community College of Aurora</t>
  </si>
  <si>
    <t>Community College of Denver</t>
  </si>
  <si>
    <t>Front Range Community College</t>
  </si>
  <si>
    <t>Lamar Community College</t>
  </si>
  <si>
    <t>Morgan Community College</t>
  </si>
  <si>
    <t>Northeastern Junior College</t>
  </si>
  <si>
    <t>Otero Junior College</t>
  </si>
  <si>
    <t>Pikes Peak Community College</t>
  </si>
  <si>
    <t>Pueblo Community College</t>
  </si>
  <si>
    <t>Red Rocks Community College</t>
  </si>
  <si>
    <t>Trinidad State Junior College</t>
  </si>
  <si>
    <t>4-Year Private</t>
  </si>
  <si>
    <t>Colorado College</t>
  </si>
  <si>
    <t>Naropa University</t>
  </si>
  <si>
    <t>Colorado Christian University</t>
  </si>
  <si>
    <t>Regis University</t>
  </si>
  <si>
    <t>University of Denver</t>
  </si>
  <si>
    <t>4-Year Public</t>
  </si>
  <si>
    <t>Adams State University</t>
  </si>
  <si>
    <t>Colorado Mesa University</t>
  </si>
  <si>
    <t>Colorado Mountain College</t>
  </si>
  <si>
    <t>Colorado School of Mines</t>
  </si>
  <si>
    <t>Colorado State University</t>
  </si>
  <si>
    <t>Colorado State University - Pueblo</t>
  </si>
  <si>
    <t>Fort Lewis College</t>
  </si>
  <si>
    <t>Metropolitan State University of Denver</t>
  </si>
  <si>
    <t>University of Colorado Boulder</t>
  </si>
  <si>
    <t>University of Colorado Colorado Springs</t>
  </si>
  <si>
    <t>University of Colorado Denver</t>
  </si>
  <si>
    <t>University of Northern Colorado</t>
  </si>
  <si>
    <t>Western State Colorado University</t>
  </si>
  <si>
    <t>Emily Griffith Technical College</t>
  </si>
  <si>
    <t>Pickens Technical College</t>
  </si>
  <si>
    <t>Technical College of the Rockies</t>
  </si>
  <si>
    <t>Local Districts</t>
  </si>
  <si>
    <t>Freshmen FTE</t>
  </si>
  <si>
    <t>Sophomore FTE</t>
  </si>
  <si>
    <t>Junior FTE</t>
  </si>
  <si>
    <t>Senior FTE</t>
  </si>
  <si>
    <t>Advanced Senior FTE</t>
  </si>
  <si>
    <t>Public Four-Year Institutions</t>
  </si>
  <si>
    <t>Public Two-Year Institutions</t>
  </si>
  <si>
    <t>Non-Profit Private Institutions</t>
  </si>
  <si>
    <t>Technical Colleges</t>
  </si>
  <si>
    <t>Totals</t>
  </si>
  <si>
    <t>Freshman</t>
  </si>
  <si>
    <t>Sophomore</t>
  </si>
  <si>
    <t>Junior</t>
  </si>
  <si>
    <t>Senior</t>
  </si>
  <si>
    <t>FY 19-20</t>
  </si>
  <si>
    <t>R1 @ 2%</t>
  </si>
  <si>
    <t>FY20-21</t>
  </si>
  <si>
    <t>Over/Under-Allocated</t>
  </si>
  <si>
    <t>Western Colorado University</t>
  </si>
  <si>
    <t>Area Technicals</t>
  </si>
  <si>
    <t>R1 @7%</t>
  </si>
  <si>
    <t>R1 @5%</t>
  </si>
  <si>
    <t>Source: 2018 SURDS Financial Aid File</t>
  </si>
  <si>
    <t xml:space="preserve">2018 FTE (Used in the 2019-20 Allocation) </t>
  </si>
  <si>
    <t xml:space="preserve">2019 FTE (Used in the 2020-21 Allocation) </t>
  </si>
  <si>
    <t>Adv. Senior</t>
  </si>
  <si>
    <t>Percent Change in FTE Between 2018 and 2019</t>
  </si>
  <si>
    <t>All grade levels</t>
  </si>
  <si>
    <t>Source: 2019 SURDS Financial Aid File</t>
  </si>
  <si>
    <t>Institutions</t>
  </si>
  <si>
    <t>FY 2020-21 Allocation  Without Guardrails</t>
  </si>
  <si>
    <t>Guardrail Allocation
(-8%, 15%)</t>
  </si>
  <si>
    <t>Changes in Total FTE</t>
  </si>
  <si>
    <t>Model Scenerio 1 for a 2 % Increase: Guardrails -5%, +10%</t>
  </si>
  <si>
    <t>Model Scenerio 2 for a 2 % Increase: Guardrails -3%, +10%</t>
  </si>
  <si>
    <t>Model Scenerio 3 for a 2 % Increase: Guardrails -5%, +15%</t>
  </si>
  <si>
    <t>Model Scenerio 1 for a 5 % Increase: Guardrails -5%, +10%</t>
  </si>
  <si>
    <t>Model Scenerio 2 for a 5 % Increase: Guardrails -3%, +10%</t>
  </si>
  <si>
    <t>Model Scenerio 3 for a 5 % Increase: Guardrails -1%, +10%</t>
  </si>
  <si>
    <t>Model Scenerio 1 for a 7 % Increase: Guardrails -5%, +12%</t>
  </si>
  <si>
    <t>Model Scenerio 2 for a 7 % Increase: Guardrails -3%, +12%</t>
  </si>
  <si>
    <t>Model Scenerio 3 for a 7 % Increase: Guardrails -1%, +12%</t>
  </si>
  <si>
    <t>Guardrail Allocation 
(-3%, 10%)</t>
  </si>
  <si>
    <t>Guardrail Allocation
(-1%, 15%)</t>
  </si>
  <si>
    <t>Guardrail Allocation
(-5%, 10%)</t>
  </si>
  <si>
    <t>Guardrail Allocation
(-3%, 10%)</t>
  </si>
  <si>
    <t>Guardrail Allocation
(-1%, 10%)</t>
  </si>
  <si>
    <t>Guardrail Allocation
(-5%, 12%)</t>
  </si>
  <si>
    <t>Guardrail Allocation
(-3%, 12%)</t>
  </si>
  <si>
    <t>Guardrail Allocation
(-1%, 12%)</t>
  </si>
  <si>
    <t>FY 2019-20 
Allocation</t>
  </si>
  <si>
    <t>% Change from
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</si>
</sst>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6" fontId="0" fillId="0" borderId="0" xfId="0" applyNumberFormat="1"/>
    <xf numFmtId="0" fontId="3" fillId="0" borderId="0" xfId="0" applyFont="1"/>
    <xf numFmtId="0" fontId="1" fillId="0" borderId="1" xfId="0" applyFont="1" applyBorder="1"/>
    <xf numFmtId="9" fontId="0" fillId="0" borderId="0" xfId="3" applyFont="1"/>
    <xf numFmtId="164" fontId="0" fillId="0" borderId="0" xfId="2" applyNumberFormat="1" applyFont="1"/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6" fontId="0" fillId="0" borderId="0" xfId="0" applyNumberFormat="1"/>
    <xf numFmtId="9" fontId="0" fillId="0" borderId="0" xfId="3" applyFont="1"/>
    <xf numFmtId="0" fontId="0" fillId="0" borderId="0" xfId="0" applyNumberFormat="1" applyFont="1" applyFill="1" applyBorder="1"/>
    <xf numFmtId="9" fontId="1" fillId="0" borderId="0" xfId="3" applyFont="1" applyFill="1" applyBorder="1"/>
    <xf numFmtId="167" fontId="0" fillId="0" borderId="0" xfId="1" applyNumberFormat="1" applyFont="1" applyFill="1" applyBorder="1"/>
    <xf numFmtId="9" fontId="0" fillId="0" borderId="0" xfId="3" applyFont="1" applyFill="1" applyBorder="1"/>
    <xf numFmtId="167" fontId="1" fillId="0" borderId="0" xfId="1" applyNumberFormat="1" applyFont="1" applyFill="1" applyBorder="1"/>
    <xf numFmtId="167" fontId="1" fillId="0" borderId="0" xfId="1" applyNumberFormat="1" applyFont="1" applyFill="1" applyBorder="1" applyAlignment="1">
      <alignment horizontal="left"/>
    </xf>
    <xf numFmtId="167" fontId="1" fillId="0" borderId="0" xfId="1" applyNumberFormat="1" applyFont="1" applyFill="1" applyBorder="1" applyAlignment="1">
      <alignment horizontal="left" indent="1"/>
    </xf>
    <xf numFmtId="167" fontId="0" fillId="0" borderId="0" xfId="1" applyNumberFormat="1" applyFont="1" applyFill="1" applyBorder="1" applyAlignment="1">
      <alignment horizontal="left" indent="1"/>
    </xf>
    <xf numFmtId="9" fontId="2" fillId="0" borderId="0" xfId="3" applyFont="1" applyFill="1" applyBorder="1"/>
    <xf numFmtId="167" fontId="0" fillId="0" borderId="0" xfId="1" applyNumberFormat="1" applyFont="1" applyFill="1" applyBorder="1" applyAlignment="1">
      <alignment horizontal="left"/>
    </xf>
    <xf numFmtId="167" fontId="0" fillId="2" borderId="0" xfId="1" applyNumberFormat="1" applyFont="1" applyFill="1" applyBorder="1"/>
    <xf numFmtId="167" fontId="1" fillId="0" borderId="0" xfId="1" applyNumberFormat="1" applyFont="1" applyFill="1" applyBorder="1" applyAlignment="1">
      <alignment wrapText="1"/>
    </xf>
    <xf numFmtId="167" fontId="0" fillId="0" borderId="0" xfId="1" applyNumberFormat="1" applyFont="1" applyFill="1" applyBorder="1" applyAlignment="1">
      <alignment wrapText="1"/>
    </xf>
    <xf numFmtId="9" fontId="1" fillId="0" borderId="0" xfId="3" applyFont="1" applyFill="1" applyBorder="1" applyAlignment="1">
      <alignment wrapText="1"/>
    </xf>
    <xf numFmtId="167" fontId="0" fillId="0" borderId="2" xfId="1" applyNumberFormat="1" applyFont="1" applyFill="1" applyBorder="1"/>
    <xf numFmtId="167" fontId="1" fillId="0" borderId="2" xfId="1" applyNumberFormat="1" applyFont="1" applyFill="1" applyBorder="1" applyAlignment="1">
      <alignment wrapText="1"/>
    </xf>
    <xf numFmtId="167" fontId="1" fillId="0" borderId="2" xfId="1" applyNumberFormat="1" applyFont="1" applyFill="1" applyBorder="1"/>
    <xf numFmtId="167" fontId="0" fillId="0" borderId="3" xfId="1" applyNumberFormat="1" applyFont="1" applyFill="1" applyBorder="1"/>
    <xf numFmtId="167" fontId="1" fillId="0" borderId="3" xfId="1" applyNumberFormat="1" applyFont="1" applyFill="1" applyBorder="1" applyAlignment="1">
      <alignment wrapText="1"/>
    </xf>
    <xf numFmtId="167" fontId="1" fillId="0" borderId="3" xfId="1" applyNumberFormat="1" applyFont="1" applyFill="1" applyBorder="1"/>
    <xf numFmtId="167" fontId="0" fillId="2" borderId="3" xfId="1" applyNumberFormat="1" applyFont="1" applyFill="1" applyBorder="1"/>
    <xf numFmtId="9" fontId="0" fillId="0" borderId="2" xfId="3" applyFont="1" applyFill="1" applyBorder="1"/>
    <xf numFmtId="9" fontId="1" fillId="0" borderId="2" xfId="3" applyFont="1" applyFill="1" applyBorder="1"/>
    <xf numFmtId="9" fontId="2" fillId="0" borderId="2" xfId="3" applyFont="1" applyFill="1" applyBorder="1"/>
    <xf numFmtId="9" fontId="0" fillId="0" borderId="3" xfId="3" applyFont="1" applyFill="1" applyBorder="1"/>
    <xf numFmtId="9" fontId="1" fillId="0" borderId="2" xfId="3" applyFont="1" applyFill="1" applyBorder="1" applyAlignment="1"/>
    <xf numFmtId="9" fontId="1" fillId="0" borderId="0" xfId="3" applyFont="1" applyFill="1" applyBorder="1" applyAlignment="1"/>
    <xf numFmtId="167" fontId="1" fillId="0" borderId="5" xfId="1" applyNumberFormat="1" applyFont="1" applyFill="1" applyBorder="1"/>
    <xf numFmtId="167" fontId="1" fillId="0" borderId="6" xfId="1" applyNumberFormat="1" applyFont="1" applyFill="1" applyBorder="1" applyAlignment="1">
      <alignment wrapText="1"/>
    </xf>
    <xf numFmtId="167" fontId="1" fillId="0" borderId="5" xfId="1" applyNumberFormat="1" applyFont="1" applyFill="1" applyBorder="1" applyAlignment="1">
      <alignment wrapText="1"/>
    </xf>
    <xf numFmtId="167" fontId="1" fillId="0" borderId="4" xfId="1" applyNumberFormat="1" applyFont="1" applyFill="1" applyBorder="1" applyAlignment="1">
      <alignment wrapText="1"/>
    </xf>
    <xf numFmtId="167" fontId="0" fillId="0" borderId="5" xfId="1" applyNumberFormat="1" applyFont="1" applyFill="1" applyBorder="1" applyAlignment="1">
      <alignment wrapText="1"/>
    </xf>
    <xf numFmtId="9" fontId="1" fillId="0" borderId="6" xfId="3" applyFont="1" applyFill="1" applyBorder="1" applyAlignment="1"/>
    <xf numFmtId="9" fontId="1" fillId="0" borderId="5" xfId="3" applyFont="1" applyFill="1" applyBorder="1" applyAlignment="1"/>
    <xf numFmtId="9" fontId="1" fillId="0" borderId="5" xfId="3" applyFont="1" applyFill="1" applyBorder="1" applyAlignment="1">
      <alignment wrapText="1"/>
    </xf>
    <xf numFmtId="0" fontId="1" fillId="0" borderId="0" xfId="0" applyFo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0" fillId="0" borderId="10" xfId="0" applyBorder="1"/>
    <xf numFmtId="10" fontId="0" fillId="0" borderId="10" xfId="0" applyNumberFormat="1" applyBorder="1"/>
    <xf numFmtId="0" fontId="3" fillId="0" borderId="10" xfId="0" applyFont="1" applyBorder="1"/>
    <xf numFmtId="0" fontId="0" fillId="0" borderId="11" xfId="0" applyBorder="1"/>
    <xf numFmtId="0" fontId="0" fillId="0" borderId="2" xfId="0" applyBorder="1" applyAlignment="1">
      <alignment horizontal="left" indent="1"/>
    </xf>
    <xf numFmtId="0" fontId="0" fillId="0" borderId="0" xfId="0" applyBorder="1"/>
    <xf numFmtId="164" fontId="0" fillId="0" borderId="0" xfId="0" applyNumberFormat="1" applyBorder="1"/>
    <xf numFmtId="0" fontId="0" fillId="0" borderId="0" xfId="0" applyNumberFormat="1" applyFill="1" applyBorder="1"/>
    <xf numFmtId="1" fontId="0" fillId="0" borderId="0" xfId="0" applyNumberFormat="1" applyBorder="1"/>
    <xf numFmtId="10" fontId="0" fillId="0" borderId="0" xfId="0" applyNumberFormat="1" applyBorder="1"/>
    <xf numFmtId="164" fontId="3" fillId="0" borderId="0" xfId="0" applyNumberFormat="1" applyFont="1" applyBorder="1"/>
    <xf numFmtId="10" fontId="0" fillId="0" borderId="3" xfId="0" applyNumberFormat="1" applyBorder="1"/>
    <xf numFmtId="0" fontId="0" fillId="0" borderId="2" xfId="0" applyBorder="1"/>
    <xf numFmtId="0" fontId="1" fillId="0" borderId="2" xfId="0" applyFont="1" applyBorder="1" applyAlignment="1">
      <alignment horizontal="left"/>
    </xf>
    <xf numFmtId="165" fontId="0" fillId="0" borderId="0" xfId="0" applyNumberFormat="1" applyBorder="1"/>
    <xf numFmtId="0" fontId="0" fillId="0" borderId="0" xfId="0" applyFill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Border="1"/>
    <xf numFmtId="0" fontId="4" fillId="0" borderId="6" xfId="0" applyFont="1" applyBorder="1" applyAlignment="1">
      <alignment horizontal="left" indent="1"/>
    </xf>
    <xf numFmtId="3" fontId="4" fillId="0" borderId="5" xfId="0" applyNumberFormat="1" applyFont="1" applyBorder="1"/>
    <xf numFmtId="164" fontId="4" fillId="0" borderId="5" xfId="0" applyNumberFormat="1" applyFont="1" applyBorder="1"/>
    <xf numFmtId="1" fontId="4" fillId="0" borderId="5" xfId="0" applyNumberFormat="1" applyFont="1" applyBorder="1"/>
    <xf numFmtId="10" fontId="4" fillId="0" borderId="5" xfId="0" applyNumberFormat="1" applyFont="1" applyBorder="1"/>
    <xf numFmtId="164" fontId="5" fillId="0" borderId="5" xfId="0" applyNumberFormat="1" applyFont="1" applyBorder="1"/>
    <xf numFmtId="10" fontId="4" fillId="0" borderId="4" xfId="0" applyNumberFormat="1" applyFont="1" applyBorder="1"/>
    <xf numFmtId="0" fontId="0" fillId="0" borderId="0" xfId="0" applyFont="1" applyBorder="1"/>
    <xf numFmtId="166" fontId="0" fillId="0" borderId="0" xfId="0" applyNumberFormat="1" applyBorder="1"/>
    <xf numFmtId="164" fontId="1" fillId="0" borderId="7" xfId="0" applyNumberFormat="1" applyFont="1" applyBorder="1" applyAlignment="1">
      <alignment horizontal="center" vertical="center" wrapText="1"/>
    </xf>
    <xf numFmtId="164" fontId="0" fillId="0" borderId="9" xfId="0" applyNumberFormat="1" applyBorder="1"/>
    <xf numFmtId="164" fontId="0" fillId="0" borderId="2" xfId="0" applyNumberFormat="1" applyBorder="1"/>
    <xf numFmtId="164" fontId="4" fillId="0" borderId="6" xfId="1" applyNumberFormat="1" applyFont="1" applyBorder="1"/>
    <xf numFmtId="0" fontId="1" fillId="0" borderId="12" xfId="0" applyFont="1" applyBorder="1" applyAlignment="1">
      <alignment horizontal="center" vertical="center" wrapText="1"/>
    </xf>
    <xf numFmtId="0" fontId="0" fillId="0" borderId="13" xfId="0" applyBorder="1"/>
    <xf numFmtId="6" fontId="0" fillId="0" borderId="14" xfId="0" applyNumberFormat="1" applyBorder="1"/>
    <xf numFmtId="0" fontId="0" fillId="0" borderId="14" xfId="0" applyBorder="1"/>
    <xf numFmtId="164" fontId="4" fillId="0" borderId="15" xfId="0" applyNumberFormat="1" applyFont="1" applyBorder="1"/>
    <xf numFmtId="167" fontId="1" fillId="0" borderId="2" xfId="1" applyNumberFormat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167" fontId="1" fillId="0" borderId="3" xfId="1" applyNumberFormat="1" applyFont="1" applyFill="1" applyBorder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167" fontId="0" fillId="0" borderId="3" xfId="1" applyNumberFormat="1" applyFont="1" applyFill="1" applyBorder="1" applyAlignment="1">
      <alignment horizontal="center"/>
    </xf>
  </cellXfs>
  <cellStyles count="7">
    <cellStyle name="Comma" xfId="1" builtinId="3"/>
    <cellStyle name="Comma 4" xfId="6" xr:uid="{01D2F1A9-C559-4643-A142-8B9D960C5430}"/>
    <cellStyle name="Currency" xfId="2" builtinId="4"/>
    <cellStyle name="Normal" xfId="0" builtinId="0"/>
    <cellStyle name="Normal 2" xfId="4" xr:uid="{1868825B-33BE-4703-89CB-AE204C03A3F6}"/>
    <cellStyle name="Normal 8" xfId="5" xr:uid="{488FD518-BB20-485D-913B-24220F187745}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2FAC-DDA7-4312-B12F-87F167BAEEBC}">
  <dimension ref="B1:U56"/>
  <sheetViews>
    <sheetView tabSelected="1" zoomScale="70" zoomScaleNormal="70" workbookViewId="0">
      <selection activeCell="Z17" sqref="Z17"/>
    </sheetView>
  </sheetViews>
  <sheetFormatPr defaultRowHeight="15" x14ac:dyDescent="0.25"/>
  <cols>
    <col min="1" max="1" width="1" style="18" customWidth="1"/>
    <col min="2" max="2" width="47.7109375" style="18" customWidth="1"/>
    <col min="3" max="7" width="10.7109375" style="18" customWidth="1"/>
    <col min="8" max="8" width="2.28515625" style="18" customWidth="1"/>
    <col min="9" max="13" width="10.7109375" style="18" customWidth="1"/>
    <col min="14" max="14" width="1.85546875" style="18" customWidth="1"/>
    <col min="15" max="19" width="9.85546875" style="19" customWidth="1"/>
    <col min="20" max="20" width="9.85546875" style="18" customWidth="1"/>
    <col min="21" max="16384" width="9.140625" style="18"/>
  </cols>
  <sheetData>
    <row r="1" spans="2:21" x14ac:dyDescent="0.25">
      <c r="B1" s="20" t="s">
        <v>71</v>
      </c>
    </row>
    <row r="2" spans="2:21" x14ac:dyDescent="0.25">
      <c r="C2" s="94" t="s">
        <v>62</v>
      </c>
      <c r="D2" s="95"/>
      <c r="E2" s="95"/>
      <c r="F2" s="95"/>
      <c r="G2" s="96"/>
      <c r="I2" s="97" t="s">
        <v>63</v>
      </c>
      <c r="J2" s="98"/>
      <c r="K2" s="98"/>
      <c r="L2" s="98"/>
      <c r="M2" s="99"/>
      <c r="O2" s="94" t="s">
        <v>65</v>
      </c>
      <c r="P2" s="95"/>
      <c r="Q2" s="95"/>
      <c r="R2" s="95"/>
      <c r="S2" s="95"/>
      <c r="T2" s="96"/>
    </row>
    <row r="3" spans="2:21" x14ac:dyDescent="0.25">
      <c r="C3" s="30" t="s">
        <v>61</v>
      </c>
      <c r="G3" s="33"/>
      <c r="I3" s="30" t="s">
        <v>67</v>
      </c>
      <c r="M3" s="33"/>
      <c r="O3" s="37"/>
      <c r="T3" s="33"/>
    </row>
    <row r="4" spans="2:21" ht="30" customHeight="1" x14ac:dyDescent="0.25">
      <c r="B4" s="43" t="s">
        <v>68</v>
      </c>
      <c r="C4" s="44" t="s">
        <v>49</v>
      </c>
      <c r="D4" s="45" t="s">
        <v>50</v>
      </c>
      <c r="E4" s="45" t="s">
        <v>51</v>
      </c>
      <c r="F4" s="45" t="s">
        <v>52</v>
      </c>
      <c r="G4" s="46" t="s">
        <v>64</v>
      </c>
      <c r="H4" s="47"/>
      <c r="I4" s="44" t="s">
        <v>49</v>
      </c>
      <c r="J4" s="45" t="s">
        <v>50</v>
      </c>
      <c r="K4" s="45" t="s">
        <v>51</v>
      </c>
      <c r="L4" s="45" t="s">
        <v>52</v>
      </c>
      <c r="M4" s="46" t="s">
        <v>64</v>
      </c>
      <c r="N4" s="45"/>
      <c r="O4" s="48" t="s">
        <v>49</v>
      </c>
      <c r="P4" s="49" t="s">
        <v>50</v>
      </c>
      <c r="Q4" s="49" t="s">
        <v>51</v>
      </c>
      <c r="R4" s="49" t="s">
        <v>52</v>
      </c>
      <c r="S4" s="50" t="s">
        <v>64</v>
      </c>
      <c r="T4" s="46" t="s">
        <v>66</v>
      </c>
    </row>
    <row r="5" spans="2:21" x14ac:dyDescent="0.25">
      <c r="B5" s="20"/>
      <c r="C5" s="31"/>
      <c r="D5" s="27"/>
      <c r="E5" s="27"/>
      <c r="F5" s="27"/>
      <c r="G5" s="34"/>
      <c r="H5" s="28"/>
      <c r="I5" s="31"/>
      <c r="J5" s="27"/>
      <c r="K5" s="27"/>
      <c r="L5" s="27"/>
      <c r="M5" s="34"/>
      <c r="N5" s="27"/>
      <c r="O5" s="41"/>
      <c r="P5" s="42"/>
      <c r="Q5" s="42"/>
      <c r="R5" s="42"/>
      <c r="S5" s="29"/>
      <c r="T5" s="34"/>
    </row>
    <row r="6" spans="2:21" x14ac:dyDescent="0.25">
      <c r="B6" s="21" t="s">
        <v>21</v>
      </c>
      <c r="C6" s="32">
        <f t="shared" ref="C6:G6" si="0">SUM(C7:C18)</f>
        <v>6281</v>
      </c>
      <c r="D6" s="20">
        <f t="shared" si="0"/>
        <v>6746</v>
      </c>
      <c r="E6" s="20">
        <f t="shared" si="0"/>
        <v>7610</v>
      </c>
      <c r="F6" s="20">
        <f t="shared" si="0"/>
        <v>14600.5</v>
      </c>
      <c r="G6" s="35">
        <f t="shared" si="0"/>
        <v>146.5</v>
      </c>
      <c r="H6" s="22"/>
      <c r="I6" s="32">
        <f>SUM(I7:I18)</f>
        <v>6390.5</v>
      </c>
      <c r="J6" s="20">
        <f t="shared" ref="J6:M6" si="1">SUM(J7:J18)</f>
        <v>6657.5</v>
      </c>
      <c r="K6" s="20">
        <f t="shared" si="1"/>
        <v>7526</v>
      </c>
      <c r="L6" s="20">
        <f t="shared" si="1"/>
        <v>14571.5</v>
      </c>
      <c r="M6" s="35">
        <f t="shared" si="1"/>
        <v>169.5</v>
      </c>
      <c r="O6" s="38">
        <f t="shared" ref="O6:S18" si="2">(I6-C6)/C6</f>
        <v>1.743352969272409E-2</v>
      </c>
      <c r="P6" s="17">
        <f t="shared" si="2"/>
        <v>-1.3118885265342425E-2</v>
      </c>
      <c r="Q6" s="17">
        <f t="shared" si="2"/>
        <v>-1.1038107752956636E-2</v>
      </c>
      <c r="R6" s="17">
        <f t="shared" si="2"/>
        <v>-1.9862333481730078E-3</v>
      </c>
      <c r="S6" s="17">
        <f t="shared" si="2"/>
        <v>0.15699658703071673</v>
      </c>
      <c r="T6" s="40">
        <f>(SUM(I6:M6)-SUM(C6:G6))/SUM(C6:G6)</f>
        <v>-1.9500339136332807E-3</v>
      </c>
    </row>
    <row r="7" spans="2:21" x14ac:dyDescent="0.25">
      <c r="B7" s="23" t="s">
        <v>22</v>
      </c>
      <c r="C7" s="30">
        <v>231</v>
      </c>
      <c r="D7" s="18">
        <v>174.5</v>
      </c>
      <c r="E7" s="18">
        <v>139.5</v>
      </c>
      <c r="F7" s="18">
        <v>299</v>
      </c>
      <c r="G7" s="33">
        <v>7.5</v>
      </c>
      <c r="H7" s="23"/>
      <c r="I7" s="30">
        <v>207.5</v>
      </c>
      <c r="J7" s="18">
        <v>147</v>
      </c>
      <c r="K7" s="18">
        <v>125.5</v>
      </c>
      <c r="L7" s="18">
        <v>259.5</v>
      </c>
      <c r="M7" s="33">
        <v>4</v>
      </c>
      <c r="O7" s="39">
        <f>(I7-C7)/C7</f>
        <v>-0.10173160173160173</v>
      </c>
      <c r="P7" s="19">
        <f t="shared" si="2"/>
        <v>-0.15759312320916904</v>
      </c>
      <c r="Q7" s="19">
        <f t="shared" si="2"/>
        <v>-0.1003584229390681</v>
      </c>
      <c r="R7" s="19">
        <f t="shared" si="2"/>
        <v>-0.13210702341137123</v>
      </c>
      <c r="S7" s="19">
        <f t="shared" si="2"/>
        <v>-0.46666666666666667</v>
      </c>
      <c r="T7" s="40">
        <f>(SUM(I7:M7)-SUM(C7:G7))/SUM(C7:G7)</f>
        <v>-0.1268349970640047</v>
      </c>
      <c r="U7" s="19"/>
    </row>
    <row r="8" spans="2:21" x14ac:dyDescent="0.25">
      <c r="B8" s="23" t="s">
        <v>23</v>
      </c>
      <c r="C8" s="30">
        <v>593</v>
      </c>
      <c r="D8" s="18">
        <v>759.5</v>
      </c>
      <c r="E8" s="18">
        <v>617.5</v>
      </c>
      <c r="F8" s="18">
        <v>1149</v>
      </c>
      <c r="G8" s="33">
        <v>23</v>
      </c>
      <c r="H8" s="23"/>
      <c r="I8" s="30">
        <v>588</v>
      </c>
      <c r="J8" s="18">
        <v>750.5</v>
      </c>
      <c r="K8" s="18">
        <v>574</v>
      </c>
      <c r="L8" s="18">
        <v>1142</v>
      </c>
      <c r="M8" s="33">
        <v>15</v>
      </c>
      <c r="O8" s="39">
        <f t="shared" si="2"/>
        <v>-8.4317032040472171E-3</v>
      </c>
      <c r="P8" s="19">
        <f t="shared" si="2"/>
        <v>-1.1849901250822911E-2</v>
      </c>
      <c r="Q8" s="19">
        <f t="shared" si="2"/>
        <v>-7.0445344129554652E-2</v>
      </c>
      <c r="R8" s="19">
        <f t="shared" si="2"/>
        <v>-6.0922541340295913E-3</v>
      </c>
      <c r="S8" s="19">
        <f t="shared" si="2"/>
        <v>-0.34782608695652173</v>
      </c>
      <c r="T8" s="40">
        <f t="shared" ref="T8:T49" si="3">(SUM(I8:M8)-SUM(C8:G8))/SUM(C8:G8)</f>
        <v>-2.3074474856779121E-2</v>
      </c>
    </row>
    <row r="9" spans="2:21" x14ac:dyDescent="0.25">
      <c r="B9" s="23" t="s">
        <v>25</v>
      </c>
      <c r="C9" s="30">
        <v>128.5</v>
      </c>
      <c r="D9" s="18">
        <v>129.5</v>
      </c>
      <c r="E9" s="18">
        <v>158</v>
      </c>
      <c r="F9" s="18">
        <v>246</v>
      </c>
      <c r="G9" s="33">
        <v>5.5</v>
      </c>
      <c r="H9" s="23"/>
      <c r="I9" s="30">
        <v>98.5</v>
      </c>
      <c r="J9" s="18">
        <v>163.5</v>
      </c>
      <c r="K9" s="18">
        <v>132.5</v>
      </c>
      <c r="L9" s="18">
        <v>235</v>
      </c>
      <c r="M9" s="33">
        <v>3.5</v>
      </c>
      <c r="O9" s="39">
        <f t="shared" si="2"/>
        <v>-0.23346303501945526</v>
      </c>
      <c r="P9" s="19">
        <f t="shared" si="2"/>
        <v>0.26254826254826252</v>
      </c>
      <c r="Q9" s="19">
        <f t="shared" si="2"/>
        <v>-0.16139240506329114</v>
      </c>
      <c r="R9" s="19">
        <f t="shared" si="2"/>
        <v>-4.4715447154471545E-2</v>
      </c>
      <c r="S9" s="19">
        <f t="shared" si="2"/>
        <v>-0.36363636363636365</v>
      </c>
      <c r="T9" s="40">
        <f t="shared" si="3"/>
        <v>-5.1685393258426963E-2</v>
      </c>
    </row>
    <row r="10" spans="2:21" x14ac:dyDescent="0.25">
      <c r="B10" s="23" t="s">
        <v>26</v>
      </c>
      <c r="C10" s="30">
        <v>1168.5</v>
      </c>
      <c r="D10" s="18">
        <v>1033</v>
      </c>
      <c r="E10" s="18">
        <v>1245</v>
      </c>
      <c r="F10" s="18">
        <v>1723.5</v>
      </c>
      <c r="G10" s="33">
        <v>15</v>
      </c>
      <c r="H10" s="23"/>
      <c r="I10" s="30">
        <v>1176.5</v>
      </c>
      <c r="J10" s="18">
        <v>1007.5</v>
      </c>
      <c r="K10" s="18">
        <v>1240.5</v>
      </c>
      <c r="L10" s="18">
        <v>1669</v>
      </c>
      <c r="M10" s="33">
        <v>11.5</v>
      </c>
      <c r="O10" s="39">
        <f t="shared" si="2"/>
        <v>6.8463842533162175E-3</v>
      </c>
      <c r="P10" s="19">
        <f t="shared" si="2"/>
        <v>-2.4685382381413358E-2</v>
      </c>
      <c r="Q10" s="19">
        <f t="shared" si="2"/>
        <v>-3.6144578313253013E-3</v>
      </c>
      <c r="R10" s="19">
        <f t="shared" si="2"/>
        <v>-3.1621700029010734E-2</v>
      </c>
      <c r="S10" s="19">
        <f t="shared" si="2"/>
        <v>-0.23333333333333334</v>
      </c>
      <c r="T10" s="40">
        <f t="shared" si="3"/>
        <v>-1.5429122468659595E-2</v>
      </c>
    </row>
    <row r="11" spans="2:21" x14ac:dyDescent="0.25">
      <c r="B11" s="23" t="s">
        <v>27</v>
      </c>
      <c r="C11" s="30">
        <v>338.5</v>
      </c>
      <c r="D11" s="18">
        <v>336.5</v>
      </c>
      <c r="E11" s="18">
        <v>333</v>
      </c>
      <c r="F11" s="18">
        <v>715.5</v>
      </c>
      <c r="G11" s="33">
        <v>13</v>
      </c>
      <c r="H11" s="23"/>
      <c r="I11" s="30">
        <v>298.5</v>
      </c>
      <c r="J11" s="18">
        <v>278.5</v>
      </c>
      <c r="K11" s="18">
        <v>355</v>
      </c>
      <c r="L11" s="18">
        <v>676</v>
      </c>
      <c r="M11" s="33">
        <v>11</v>
      </c>
      <c r="O11" s="39">
        <f t="shared" si="2"/>
        <v>-0.11816838995568685</v>
      </c>
      <c r="P11" s="19">
        <f t="shared" si="2"/>
        <v>-0.17236255572065379</v>
      </c>
      <c r="Q11" s="19">
        <f t="shared" si="2"/>
        <v>6.6066066066066062E-2</v>
      </c>
      <c r="R11" s="19">
        <f t="shared" si="2"/>
        <v>-5.5206149545772187E-2</v>
      </c>
      <c r="S11" s="19">
        <f t="shared" si="2"/>
        <v>-0.15384615384615385</v>
      </c>
      <c r="T11" s="40">
        <f t="shared" si="3"/>
        <v>-6.7664843075151165E-2</v>
      </c>
    </row>
    <row r="12" spans="2:21" x14ac:dyDescent="0.25">
      <c r="B12" s="23" t="s">
        <v>28</v>
      </c>
      <c r="C12" s="30">
        <v>53.5</v>
      </c>
      <c r="D12" s="18">
        <v>97.5</v>
      </c>
      <c r="E12" s="18">
        <v>93.5</v>
      </c>
      <c r="F12" s="18">
        <v>251</v>
      </c>
      <c r="G12" s="33">
        <v>2</v>
      </c>
      <c r="H12" s="23"/>
      <c r="I12" s="30">
        <v>64.5</v>
      </c>
      <c r="J12" s="18">
        <v>112</v>
      </c>
      <c r="K12" s="18">
        <v>110.5</v>
      </c>
      <c r="L12" s="18">
        <v>210</v>
      </c>
      <c r="M12" s="33">
        <v>2</v>
      </c>
      <c r="O12" s="39">
        <f t="shared" si="2"/>
        <v>0.20560747663551401</v>
      </c>
      <c r="P12" s="19">
        <f t="shared" si="2"/>
        <v>0.14871794871794872</v>
      </c>
      <c r="Q12" s="19">
        <f t="shared" si="2"/>
        <v>0.18181818181818182</v>
      </c>
      <c r="R12" s="19">
        <f t="shared" si="2"/>
        <v>-0.16334661354581673</v>
      </c>
      <c r="S12" s="19">
        <f t="shared" si="2"/>
        <v>0</v>
      </c>
      <c r="T12" s="40">
        <f t="shared" si="3"/>
        <v>3.015075376884422E-3</v>
      </c>
    </row>
    <row r="13" spans="2:21" x14ac:dyDescent="0.25">
      <c r="B13" s="23" t="s">
        <v>29</v>
      </c>
      <c r="C13" s="30">
        <v>1498.5</v>
      </c>
      <c r="D13" s="18">
        <v>1421</v>
      </c>
      <c r="E13" s="18">
        <v>1700.5</v>
      </c>
      <c r="F13" s="18">
        <v>3579.5</v>
      </c>
      <c r="G13" s="33">
        <v>24.5</v>
      </c>
      <c r="H13" s="23"/>
      <c r="I13" s="30">
        <v>1454</v>
      </c>
      <c r="J13" s="18">
        <v>1385</v>
      </c>
      <c r="K13" s="18">
        <v>1627.5</v>
      </c>
      <c r="L13" s="18">
        <v>3397</v>
      </c>
      <c r="M13" s="33">
        <v>15.5</v>
      </c>
      <c r="O13" s="39">
        <f t="shared" si="2"/>
        <v>-2.9696363029696363E-2</v>
      </c>
      <c r="P13" s="19">
        <f t="shared" si="2"/>
        <v>-2.5334271639690358E-2</v>
      </c>
      <c r="Q13" s="19">
        <f t="shared" si="2"/>
        <v>-4.2928550426345191E-2</v>
      </c>
      <c r="R13" s="19">
        <f t="shared" si="2"/>
        <v>-5.0984774409833775E-2</v>
      </c>
      <c r="S13" s="19">
        <f t="shared" si="2"/>
        <v>-0.36734693877551022</v>
      </c>
      <c r="T13" s="40">
        <f t="shared" si="3"/>
        <v>-4.1950389105058362E-2</v>
      </c>
    </row>
    <row r="14" spans="2:21" x14ac:dyDescent="0.25">
      <c r="B14" s="23" t="s">
        <v>30</v>
      </c>
      <c r="C14" s="30">
        <v>528</v>
      </c>
      <c r="D14" s="18">
        <v>819</v>
      </c>
      <c r="E14" s="18">
        <v>915.5</v>
      </c>
      <c r="F14" s="18">
        <v>1869</v>
      </c>
      <c r="G14" s="33">
        <v>13.5</v>
      </c>
      <c r="H14" s="23"/>
      <c r="I14" s="30">
        <v>583.5</v>
      </c>
      <c r="J14" s="18">
        <v>766</v>
      </c>
      <c r="K14" s="18">
        <v>896.5</v>
      </c>
      <c r="L14" s="18">
        <v>1955.5</v>
      </c>
      <c r="M14" s="33">
        <v>31</v>
      </c>
      <c r="O14" s="39">
        <f t="shared" si="2"/>
        <v>0.10511363636363637</v>
      </c>
      <c r="P14" s="19">
        <f t="shared" si="2"/>
        <v>-6.4713064713064719E-2</v>
      </c>
      <c r="Q14" s="19">
        <f t="shared" si="2"/>
        <v>-2.0753686510103769E-2</v>
      </c>
      <c r="R14" s="19">
        <f t="shared" si="2"/>
        <v>4.6281433921883358E-2</v>
      </c>
      <c r="S14" s="19">
        <f t="shared" si="2"/>
        <v>1.2962962962962963</v>
      </c>
      <c r="T14" s="40">
        <f t="shared" si="3"/>
        <v>2.1109770808202654E-2</v>
      </c>
    </row>
    <row r="15" spans="2:21" x14ac:dyDescent="0.25">
      <c r="B15" s="23" t="s">
        <v>31</v>
      </c>
      <c r="C15" s="30">
        <v>627.5</v>
      </c>
      <c r="D15" s="18">
        <v>620</v>
      </c>
      <c r="E15" s="18">
        <v>762</v>
      </c>
      <c r="F15" s="18">
        <v>1489</v>
      </c>
      <c r="G15" s="33">
        <v>29.5</v>
      </c>
      <c r="H15" s="25"/>
      <c r="I15" s="30">
        <v>587.5</v>
      </c>
      <c r="J15" s="18">
        <v>622</v>
      </c>
      <c r="K15" s="18">
        <v>675</v>
      </c>
      <c r="L15" s="18">
        <v>1517</v>
      </c>
      <c r="M15" s="33">
        <v>45</v>
      </c>
      <c r="O15" s="39">
        <f t="shared" si="2"/>
        <v>-6.3745019920318724E-2</v>
      </c>
      <c r="P15" s="19">
        <f t="shared" si="2"/>
        <v>3.2258064516129032E-3</v>
      </c>
      <c r="Q15" s="19">
        <f t="shared" si="2"/>
        <v>-0.1141732283464567</v>
      </c>
      <c r="R15" s="19">
        <f t="shared" si="2"/>
        <v>1.880456682337139E-2</v>
      </c>
      <c r="S15" s="19">
        <f t="shared" si="2"/>
        <v>0.52542372881355937</v>
      </c>
      <c r="T15" s="40">
        <f t="shared" si="3"/>
        <v>-2.3100907029478458E-2</v>
      </c>
    </row>
    <row r="16" spans="2:21" x14ac:dyDescent="0.25">
      <c r="B16" s="23" t="s">
        <v>32</v>
      </c>
      <c r="C16" s="30">
        <v>654.5</v>
      </c>
      <c r="D16" s="18">
        <v>729.5</v>
      </c>
      <c r="E16" s="18">
        <v>1083.5</v>
      </c>
      <c r="F16" s="18">
        <v>1973</v>
      </c>
      <c r="G16" s="33">
        <v>9.5</v>
      </c>
      <c r="H16" s="23"/>
      <c r="I16" s="30">
        <v>613.5</v>
      </c>
      <c r="J16" s="18">
        <v>755</v>
      </c>
      <c r="K16" s="18">
        <v>1062</v>
      </c>
      <c r="L16" s="18">
        <v>2028.5</v>
      </c>
      <c r="M16" s="33">
        <v>20</v>
      </c>
      <c r="O16" s="39">
        <f t="shared" si="2"/>
        <v>-6.2643239113827354E-2</v>
      </c>
      <c r="P16" s="19">
        <f t="shared" si="2"/>
        <v>3.495544893762851E-2</v>
      </c>
      <c r="Q16" s="19">
        <f t="shared" si="2"/>
        <v>-1.9843101061375174E-2</v>
      </c>
      <c r="R16" s="19">
        <f t="shared" si="2"/>
        <v>2.8129751647237709E-2</v>
      </c>
      <c r="S16" s="19">
        <f t="shared" si="2"/>
        <v>1.1052631578947369</v>
      </c>
      <c r="T16" s="40">
        <f t="shared" si="3"/>
        <v>6.5168539325842698E-3</v>
      </c>
    </row>
    <row r="17" spans="2:20" x14ac:dyDescent="0.25">
      <c r="B17" s="23" t="s">
        <v>33</v>
      </c>
      <c r="C17" s="30">
        <v>394</v>
      </c>
      <c r="D17" s="18">
        <v>527</v>
      </c>
      <c r="E17" s="18">
        <v>483.5</v>
      </c>
      <c r="F17" s="18">
        <v>1104</v>
      </c>
      <c r="G17" s="33">
        <v>3</v>
      </c>
      <c r="H17" s="23"/>
      <c r="I17" s="30">
        <v>647</v>
      </c>
      <c r="J17" s="18">
        <v>572.5</v>
      </c>
      <c r="K17" s="18">
        <v>634.5</v>
      </c>
      <c r="L17" s="18">
        <v>1288.5</v>
      </c>
      <c r="M17" s="33">
        <v>10</v>
      </c>
      <c r="O17" s="39">
        <f t="shared" si="2"/>
        <v>0.64213197969543145</v>
      </c>
      <c r="P17" s="19">
        <f t="shared" si="2"/>
        <v>8.6337760910815936E-2</v>
      </c>
      <c r="Q17" s="19">
        <f t="shared" si="2"/>
        <v>0.31230610134436404</v>
      </c>
      <c r="R17" s="19">
        <f t="shared" si="2"/>
        <v>0.1671195652173913</v>
      </c>
      <c r="S17" s="19">
        <f t="shared" si="2"/>
        <v>2.3333333333333335</v>
      </c>
      <c r="T17" s="40">
        <f t="shared" si="3"/>
        <v>0.25522596058132591</v>
      </c>
    </row>
    <row r="18" spans="2:20" x14ac:dyDescent="0.25">
      <c r="B18" s="23" t="s">
        <v>57</v>
      </c>
      <c r="C18" s="30">
        <v>65.5</v>
      </c>
      <c r="D18" s="18">
        <v>99</v>
      </c>
      <c r="E18" s="18">
        <v>78.5</v>
      </c>
      <c r="F18" s="18">
        <v>202</v>
      </c>
      <c r="G18" s="33">
        <v>0.5</v>
      </c>
      <c r="H18" s="23"/>
      <c r="I18" s="30">
        <v>71.5</v>
      </c>
      <c r="J18" s="18">
        <v>98</v>
      </c>
      <c r="K18" s="18">
        <v>92.5</v>
      </c>
      <c r="L18" s="18">
        <v>193.5</v>
      </c>
      <c r="M18" s="33">
        <v>1</v>
      </c>
      <c r="O18" s="39">
        <f t="shared" si="2"/>
        <v>9.1603053435114504E-2</v>
      </c>
      <c r="P18" s="19">
        <f t="shared" si="2"/>
        <v>-1.0101010101010102E-2</v>
      </c>
      <c r="Q18" s="19">
        <f t="shared" si="2"/>
        <v>0.17834394904458598</v>
      </c>
      <c r="R18" s="19">
        <f t="shared" si="2"/>
        <v>-4.2079207920792082E-2</v>
      </c>
      <c r="S18" s="19">
        <f t="shared" si="2"/>
        <v>1</v>
      </c>
      <c r="T18" s="40">
        <f t="shared" si="3"/>
        <v>2.4691358024691357E-2</v>
      </c>
    </row>
    <row r="19" spans="2:20" x14ac:dyDescent="0.25">
      <c r="B19" s="23"/>
      <c r="C19" s="30"/>
      <c r="G19" s="33"/>
      <c r="I19" s="30"/>
      <c r="M19" s="33"/>
      <c r="O19" s="39"/>
      <c r="T19" s="40"/>
    </row>
    <row r="20" spans="2:20" x14ac:dyDescent="0.25">
      <c r="B20" s="21" t="s">
        <v>0</v>
      </c>
      <c r="C20" s="32">
        <f t="shared" ref="C20:G20" si="4">SUM(C21:C33)</f>
        <v>8668.5</v>
      </c>
      <c r="D20" s="20">
        <f t="shared" si="4"/>
        <v>10996.5</v>
      </c>
      <c r="E20" s="20">
        <f t="shared" si="4"/>
        <v>3</v>
      </c>
      <c r="F20" s="20">
        <f t="shared" si="4"/>
        <v>10.5</v>
      </c>
      <c r="G20" s="35">
        <f t="shared" si="4"/>
        <v>0</v>
      </c>
      <c r="H20" s="22"/>
      <c r="I20" s="32">
        <f>SUM(I21:I33)</f>
        <v>8311</v>
      </c>
      <c r="J20" s="20">
        <f t="shared" ref="J20:M20" si="5">SUM(J21:J33)</f>
        <v>10173</v>
      </c>
      <c r="K20" s="20">
        <f t="shared" si="5"/>
        <v>6</v>
      </c>
      <c r="L20" s="20">
        <f t="shared" si="5"/>
        <v>13</v>
      </c>
      <c r="M20" s="35">
        <f t="shared" si="5"/>
        <v>2.5</v>
      </c>
      <c r="O20" s="38">
        <f>(I20-C20)/C20</f>
        <v>-4.1241275883947624E-2</v>
      </c>
      <c r="P20" s="17">
        <f>(J20-D20)/D20</f>
        <v>-7.488746419315237E-2</v>
      </c>
      <c r="Q20" s="17">
        <f>(K20-E20)/E20</f>
        <v>1</v>
      </c>
      <c r="R20" s="17">
        <f>(L20-F20)/F20</f>
        <v>0.23809523809523808</v>
      </c>
      <c r="S20" s="17"/>
      <c r="T20" s="40">
        <f t="shared" si="3"/>
        <v>-5.9608201844652792E-2</v>
      </c>
    </row>
    <row r="21" spans="2:20" x14ac:dyDescent="0.25">
      <c r="B21" s="23" t="s">
        <v>2</v>
      </c>
      <c r="C21" s="30">
        <v>585</v>
      </c>
      <c r="D21" s="18">
        <v>661</v>
      </c>
      <c r="G21" s="33"/>
      <c r="H21" s="23"/>
      <c r="I21" s="30">
        <v>528.5</v>
      </c>
      <c r="J21" s="18">
        <v>598.5</v>
      </c>
      <c r="K21" s="18">
        <v>3</v>
      </c>
      <c r="M21" s="33"/>
      <c r="O21" s="39">
        <f t="shared" ref="O21:P33" si="6">(I21-C21)/C21</f>
        <v>-9.6581196581196585E-2</v>
      </c>
      <c r="P21" s="19">
        <f t="shared" si="6"/>
        <v>-9.4553706505295002E-2</v>
      </c>
      <c r="T21" s="40">
        <f t="shared" si="3"/>
        <v>-9.3097913322632425E-2</v>
      </c>
    </row>
    <row r="22" spans="2:20" x14ac:dyDescent="0.25">
      <c r="B22" s="23" t="s">
        <v>3</v>
      </c>
      <c r="C22" s="30">
        <v>64.5</v>
      </c>
      <c r="D22" s="18">
        <v>155</v>
      </c>
      <c r="G22" s="33"/>
      <c r="H22" s="23"/>
      <c r="I22" s="30">
        <v>58.5</v>
      </c>
      <c r="J22" s="18">
        <v>143</v>
      </c>
      <c r="M22" s="33"/>
      <c r="O22" s="39">
        <f t="shared" si="6"/>
        <v>-9.3023255813953487E-2</v>
      </c>
      <c r="P22" s="19">
        <f t="shared" si="6"/>
        <v>-7.7419354838709681E-2</v>
      </c>
      <c r="T22" s="40">
        <f t="shared" si="3"/>
        <v>-8.2004555808656038E-2</v>
      </c>
    </row>
    <row r="23" spans="2:20" x14ac:dyDescent="0.25">
      <c r="B23" s="23" t="s">
        <v>4</v>
      </c>
      <c r="C23" s="30">
        <v>843</v>
      </c>
      <c r="D23" s="18">
        <v>944.5</v>
      </c>
      <c r="G23" s="33"/>
      <c r="H23" s="23"/>
      <c r="I23" s="30">
        <v>737</v>
      </c>
      <c r="J23" s="18">
        <v>824</v>
      </c>
      <c r="M23" s="33"/>
      <c r="O23" s="39">
        <f t="shared" si="6"/>
        <v>-0.12574139976275209</v>
      </c>
      <c r="P23" s="19">
        <f t="shared" si="6"/>
        <v>-0.12758073054526203</v>
      </c>
      <c r="T23" s="40">
        <f t="shared" si="3"/>
        <v>-0.12671328671328672</v>
      </c>
    </row>
    <row r="24" spans="2:20" x14ac:dyDescent="0.25">
      <c r="B24" s="23" t="s">
        <v>5</v>
      </c>
      <c r="C24" s="30">
        <v>1167.5</v>
      </c>
      <c r="D24" s="18">
        <v>1182.5</v>
      </c>
      <c r="F24" s="18">
        <v>5.5</v>
      </c>
      <c r="G24" s="33"/>
      <c r="H24" s="23"/>
      <c r="I24" s="30">
        <v>1169.5</v>
      </c>
      <c r="J24" s="18">
        <v>1046.5</v>
      </c>
      <c r="L24" s="18">
        <v>1.5</v>
      </c>
      <c r="M24" s="36">
        <v>0.5</v>
      </c>
      <c r="O24" s="39">
        <f t="shared" si="6"/>
        <v>1.7130620985010706E-3</v>
      </c>
      <c r="P24" s="19">
        <f t="shared" si="6"/>
        <v>-0.11501057082452432</v>
      </c>
      <c r="R24" s="19">
        <f>(L24-F24)/F24</f>
        <v>-0.72727272727272729</v>
      </c>
      <c r="T24" s="40">
        <f t="shared" si="3"/>
        <v>-5.8374018255147528E-2</v>
      </c>
    </row>
    <row r="25" spans="2:20" x14ac:dyDescent="0.25">
      <c r="B25" s="23" t="s">
        <v>6</v>
      </c>
      <c r="C25" s="30">
        <v>1699.5</v>
      </c>
      <c r="D25" s="18">
        <v>2216.5</v>
      </c>
      <c r="G25" s="33"/>
      <c r="H25" s="25"/>
      <c r="I25" s="30">
        <v>1706</v>
      </c>
      <c r="J25" s="18">
        <v>1881</v>
      </c>
      <c r="M25" s="33"/>
      <c r="O25" s="39">
        <f t="shared" si="6"/>
        <v>3.8246543100912034E-3</v>
      </c>
      <c r="P25" s="19">
        <f t="shared" si="6"/>
        <v>-0.15136476426799009</v>
      </c>
      <c r="T25" s="40">
        <f t="shared" si="3"/>
        <v>-8.4014300306435141E-2</v>
      </c>
    </row>
    <row r="26" spans="2:20" x14ac:dyDescent="0.25">
      <c r="B26" s="23" t="s">
        <v>7</v>
      </c>
      <c r="C26" s="30">
        <v>91.5</v>
      </c>
      <c r="D26" s="18">
        <v>172.5</v>
      </c>
      <c r="G26" s="33"/>
      <c r="H26" s="23"/>
      <c r="I26" s="30">
        <v>94</v>
      </c>
      <c r="J26" s="18">
        <v>146</v>
      </c>
      <c r="M26" s="33"/>
      <c r="O26" s="39">
        <f t="shared" si="6"/>
        <v>2.7322404371584699E-2</v>
      </c>
      <c r="P26" s="19">
        <f t="shared" si="6"/>
        <v>-0.15362318840579711</v>
      </c>
      <c r="T26" s="40">
        <f t="shared" si="3"/>
        <v>-9.0909090909090912E-2</v>
      </c>
    </row>
    <row r="27" spans="2:20" x14ac:dyDescent="0.25">
      <c r="B27" s="23" t="s">
        <v>8</v>
      </c>
      <c r="C27" s="30">
        <v>100</v>
      </c>
      <c r="D27" s="18">
        <v>166</v>
      </c>
      <c r="G27" s="33"/>
      <c r="H27" s="23"/>
      <c r="I27" s="30">
        <v>76.5</v>
      </c>
      <c r="J27" s="18">
        <v>149</v>
      </c>
      <c r="M27" s="33"/>
      <c r="O27" s="39">
        <f t="shared" si="6"/>
        <v>-0.23499999999999999</v>
      </c>
      <c r="P27" s="19">
        <f t="shared" si="6"/>
        <v>-0.10240963855421686</v>
      </c>
      <c r="T27" s="40">
        <f t="shared" si="3"/>
        <v>-0.15225563909774437</v>
      </c>
    </row>
    <row r="28" spans="2:20" x14ac:dyDescent="0.25">
      <c r="B28" s="23" t="s">
        <v>9</v>
      </c>
      <c r="C28" s="30">
        <v>123</v>
      </c>
      <c r="D28" s="18">
        <v>222.5</v>
      </c>
      <c r="G28" s="33"/>
      <c r="H28" s="23"/>
      <c r="I28" s="30">
        <v>127.5</v>
      </c>
      <c r="J28" s="18">
        <v>227</v>
      </c>
      <c r="M28" s="33"/>
      <c r="O28" s="39">
        <f t="shared" si="6"/>
        <v>3.6585365853658534E-2</v>
      </c>
      <c r="P28" s="19">
        <f t="shared" si="6"/>
        <v>2.0224719101123594E-2</v>
      </c>
      <c r="T28" s="40">
        <f t="shared" si="3"/>
        <v>2.6049204052098408E-2</v>
      </c>
    </row>
    <row r="29" spans="2:20" x14ac:dyDescent="0.25">
      <c r="B29" s="23" t="s">
        <v>10</v>
      </c>
      <c r="C29" s="30">
        <v>159</v>
      </c>
      <c r="D29" s="18">
        <v>339</v>
      </c>
      <c r="G29" s="33"/>
      <c r="H29" s="23"/>
      <c r="I29" s="30">
        <v>146</v>
      </c>
      <c r="J29" s="18">
        <v>305</v>
      </c>
      <c r="M29" s="33"/>
      <c r="O29" s="39">
        <f t="shared" si="6"/>
        <v>-8.1761006289308172E-2</v>
      </c>
      <c r="P29" s="19">
        <f t="shared" si="6"/>
        <v>-0.10029498525073746</v>
      </c>
      <c r="T29" s="40">
        <f t="shared" si="3"/>
        <v>-9.4377510040160636E-2</v>
      </c>
    </row>
    <row r="30" spans="2:20" x14ac:dyDescent="0.25">
      <c r="B30" s="23" t="s">
        <v>11</v>
      </c>
      <c r="C30" s="30">
        <v>2112.5</v>
      </c>
      <c r="D30" s="18">
        <v>2585.5</v>
      </c>
      <c r="E30" s="18">
        <v>1</v>
      </c>
      <c r="G30" s="33"/>
      <c r="H30" s="23"/>
      <c r="I30" s="30">
        <v>1970</v>
      </c>
      <c r="J30" s="18">
        <v>2625.5</v>
      </c>
      <c r="K30" s="18">
        <v>2</v>
      </c>
      <c r="L30" s="26">
        <v>2</v>
      </c>
      <c r="M30" s="36">
        <v>1</v>
      </c>
      <c r="O30" s="39">
        <f t="shared" si="6"/>
        <v>-6.7455621301775154E-2</v>
      </c>
      <c r="P30" s="19">
        <f t="shared" si="6"/>
        <v>1.5470895378070006E-2</v>
      </c>
      <c r="Q30" s="19">
        <f>(K30-E30)/E30</f>
        <v>1</v>
      </c>
      <c r="T30" s="40">
        <f t="shared" si="3"/>
        <v>-2.0961906788678441E-2</v>
      </c>
    </row>
    <row r="31" spans="2:20" x14ac:dyDescent="0.25">
      <c r="B31" s="23" t="s">
        <v>12</v>
      </c>
      <c r="C31" s="30">
        <v>844</v>
      </c>
      <c r="D31" s="18">
        <v>1075.5</v>
      </c>
      <c r="F31" s="18">
        <v>2.5</v>
      </c>
      <c r="G31" s="33"/>
      <c r="H31" s="23"/>
      <c r="I31" s="30">
        <v>869.5</v>
      </c>
      <c r="J31" s="18">
        <v>991</v>
      </c>
      <c r="L31" s="18">
        <v>7.5</v>
      </c>
      <c r="M31" s="36">
        <v>1</v>
      </c>
      <c r="O31" s="39">
        <f t="shared" si="6"/>
        <v>3.0213270142180094E-2</v>
      </c>
      <c r="P31" s="19">
        <f t="shared" si="6"/>
        <v>-7.8568107856810787E-2</v>
      </c>
      <c r="R31" s="19">
        <f>(L31-F31)/F31</f>
        <v>2</v>
      </c>
      <c r="T31" s="40">
        <f t="shared" si="3"/>
        <v>-2.7575442247658687E-2</v>
      </c>
    </row>
    <row r="32" spans="2:20" x14ac:dyDescent="0.25">
      <c r="B32" s="23" t="s">
        <v>13</v>
      </c>
      <c r="C32" s="30">
        <v>734</v>
      </c>
      <c r="D32" s="18">
        <v>896.5</v>
      </c>
      <c r="E32" s="18">
        <v>2</v>
      </c>
      <c r="F32" s="18">
        <v>2.5</v>
      </c>
      <c r="G32" s="33"/>
      <c r="H32" s="23"/>
      <c r="I32" s="30">
        <v>692.5</v>
      </c>
      <c r="J32" s="18">
        <v>869.5</v>
      </c>
      <c r="K32" s="18">
        <v>1</v>
      </c>
      <c r="L32" s="18">
        <v>2</v>
      </c>
      <c r="M32" s="33"/>
      <c r="O32" s="39">
        <f t="shared" si="6"/>
        <v>-5.6539509536784743E-2</v>
      </c>
      <c r="P32" s="19">
        <f t="shared" si="6"/>
        <v>-3.0117122141662019E-2</v>
      </c>
      <c r="Q32" s="19">
        <f>(K32-E32)/E32</f>
        <v>-0.5</v>
      </c>
      <c r="R32" s="19">
        <f>(L32-F32)/F32</f>
        <v>-0.2</v>
      </c>
      <c r="T32" s="40">
        <f t="shared" si="3"/>
        <v>-4.2813455657492352E-2</v>
      </c>
    </row>
    <row r="33" spans="2:20" x14ac:dyDescent="0.25">
      <c r="B33" s="23" t="s">
        <v>14</v>
      </c>
      <c r="C33" s="30">
        <v>145</v>
      </c>
      <c r="D33" s="18">
        <v>379.5</v>
      </c>
      <c r="G33" s="33"/>
      <c r="H33" s="23"/>
      <c r="I33" s="30">
        <v>135.5</v>
      </c>
      <c r="J33" s="18">
        <v>367</v>
      </c>
      <c r="M33" s="33"/>
      <c r="O33" s="39">
        <f t="shared" si="6"/>
        <v>-6.5517241379310351E-2</v>
      </c>
      <c r="P33" s="19">
        <f t="shared" si="6"/>
        <v>-3.2938076416337288E-2</v>
      </c>
      <c r="T33" s="40">
        <f t="shared" si="3"/>
        <v>-4.1944709246901808E-2</v>
      </c>
    </row>
    <row r="34" spans="2:20" x14ac:dyDescent="0.25">
      <c r="B34" s="23"/>
      <c r="C34" s="30"/>
      <c r="G34" s="33"/>
      <c r="I34" s="30"/>
      <c r="M34" s="33"/>
      <c r="O34" s="39"/>
      <c r="T34" s="40"/>
    </row>
    <row r="35" spans="2:20" x14ac:dyDescent="0.25">
      <c r="B35" s="21" t="s">
        <v>38</v>
      </c>
      <c r="C35" s="32">
        <f t="shared" ref="C35:G35" si="7">SUM(C36:C37)</f>
        <v>1531.5</v>
      </c>
      <c r="D35" s="20">
        <f t="shared" si="7"/>
        <v>1238</v>
      </c>
      <c r="E35" s="20">
        <f t="shared" si="7"/>
        <v>25</v>
      </c>
      <c r="F35" s="20">
        <f t="shared" si="7"/>
        <v>0</v>
      </c>
      <c r="G35" s="35">
        <f t="shared" si="7"/>
        <v>0</v>
      </c>
      <c r="H35" s="22"/>
      <c r="I35" s="32">
        <f>SUM(I36:I37)</f>
        <v>1359.5</v>
      </c>
      <c r="J35" s="20">
        <f t="shared" ref="J35:M35" si="8">SUM(J36:J37)</f>
        <v>1411</v>
      </c>
      <c r="K35" s="20">
        <f t="shared" si="8"/>
        <v>14</v>
      </c>
      <c r="L35" s="20">
        <f t="shared" si="8"/>
        <v>0</v>
      </c>
      <c r="M35" s="35">
        <f t="shared" si="8"/>
        <v>0</v>
      </c>
      <c r="O35" s="38">
        <f>(I35-C35)/C35</f>
        <v>-0.11230819458047665</v>
      </c>
      <c r="P35" s="17">
        <f>(J35-D35)/D35</f>
        <v>0.13974151857835218</v>
      </c>
      <c r="Q35" s="17">
        <f>(K35-E35)/E35</f>
        <v>-0.44</v>
      </c>
      <c r="R35" s="17"/>
      <c r="S35" s="17"/>
      <c r="T35" s="40">
        <f t="shared" si="3"/>
        <v>-3.5784576847378781E-3</v>
      </c>
    </row>
    <row r="36" spans="2:20" x14ac:dyDescent="0.25">
      <c r="B36" s="23" t="s">
        <v>1</v>
      </c>
      <c r="C36" s="30">
        <v>899.5</v>
      </c>
      <c r="D36" s="18">
        <v>852.5</v>
      </c>
      <c r="G36" s="33"/>
      <c r="H36" s="23"/>
      <c r="I36" s="30">
        <v>785.5</v>
      </c>
      <c r="J36" s="18">
        <v>1007</v>
      </c>
      <c r="M36" s="33"/>
      <c r="O36" s="39">
        <f>(I36-C36)/C36</f>
        <v>-0.12673707615341856</v>
      </c>
      <c r="P36" s="19">
        <f>(J36-D36)/D36</f>
        <v>0.18123167155425221</v>
      </c>
      <c r="T36" s="40">
        <f t="shared" si="3"/>
        <v>2.3116438356164382E-2</v>
      </c>
    </row>
    <row r="37" spans="2:20" x14ac:dyDescent="0.25">
      <c r="B37" s="23" t="s">
        <v>24</v>
      </c>
      <c r="C37" s="30">
        <v>632</v>
      </c>
      <c r="D37" s="18">
        <v>385.5</v>
      </c>
      <c r="E37" s="18">
        <v>25</v>
      </c>
      <c r="F37" s="18">
        <v>0</v>
      </c>
      <c r="G37" s="33"/>
      <c r="H37" s="25"/>
      <c r="I37" s="30">
        <v>574</v>
      </c>
      <c r="J37" s="18">
        <v>404</v>
      </c>
      <c r="K37" s="18">
        <v>14</v>
      </c>
      <c r="M37" s="33"/>
      <c r="O37" s="39">
        <f>(I37-C37)/C37</f>
        <v>-9.1772151898734181E-2</v>
      </c>
      <c r="P37" s="19">
        <f>(J37-D37)/D37</f>
        <v>4.7989623865110249E-2</v>
      </c>
      <c r="Q37" s="19">
        <f>(K37-E37)/E37</f>
        <v>-0.44</v>
      </c>
      <c r="T37" s="40">
        <f t="shared" si="3"/>
        <v>-4.8441247002398082E-2</v>
      </c>
    </row>
    <row r="38" spans="2:20" x14ac:dyDescent="0.25">
      <c r="B38" s="23"/>
      <c r="C38" s="30"/>
      <c r="G38" s="33"/>
      <c r="I38" s="30"/>
      <c r="M38" s="33"/>
      <c r="O38" s="39"/>
      <c r="T38" s="40"/>
    </row>
    <row r="39" spans="2:20" x14ac:dyDescent="0.25">
      <c r="B39" s="21" t="s">
        <v>15</v>
      </c>
      <c r="C39" s="32">
        <f t="shared" ref="C39:G39" si="9">SUM(C40:C44)</f>
        <v>510</v>
      </c>
      <c r="D39" s="20">
        <f t="shared" si="9"/>
        <v>496.5</v>
      </c>
      <c r="E39" s="20">
        <f t="shared" si="9"/>
        <v>559.5</v>
      </c>
      <c r="F39" s="20">
        <f t="shared" si="9"/>
        <v>930</v>
      </c>
      <c r="G39" s="35">
        <f t="shared" si="9"/>
        <v>8.5</v>
      </c>
      <c r="I39" s="32">
        <f t="shared" ref="I39:M39" si="10">SUM(I40:I44)</f>
        <v>424</v>
      </c>
      <c r="J39" s="20">
        <f t="shared" si="10"/>
        <v>531</v>
      </c>
      <c r="K39" s="20">
        <f t="shared" si="10"/>
        <v>572</v>
      </c>
      <c r="L39" s="20">
        <f t="shared" si="10"/>
        <v>881.5</v>
      </c>
      <c r="M39" s="35">
        <f t="shared" si="10"/>
        <v>0</v>
      </c>
      <c r="O39" s="38">
        <f t="shared" ref="O39:S44" si="11">(I39-C39)/C39</f>
        <v>-0.16862745098039217</v>
      </c>
      <c r="P39" s="17">
        <f t="shared" si="11"/>
        <v>6.9486404833836862E-2</v>
      </c>
      <c r="Q39" s="17">
        <f t="shared" si="11"/>
        <v>2.2341376228775692E-2</v>
      </c>
      <c r="R39" s="17">
        <f t="shared" si="11"/>
        <v>-5.2150537634408599E-2</v>
      </c>
      <c r="S39" s="17">
        <f t="shared" si="11"/>
        <v>-1</v>
      </c>
      <c r="T39" s="40">
        <f t="shared" si="3"/>
        <v>-3.8331004192453583E-2</v>
      </c>
    </row>
    <row r="40" spans="2:20" x14ac:dyDescent="0.25">
      <c r="B40" s="23" t="s">
        <v>18</v>
      </c>
      <c r="C40" s="30">
        <v>211</v>
      </c>
      <c r="D40" s="18">
        <v>247</v>
      </c>
      <c r="E40" s="18">
        <v>206</v>
      </c>
      <c r="F40" s="18">
        <v>301.5</v>
      </c>
      <c r="G40" s="33">
        <v>1.5</v>
      </c>
      <c r="H40" s="23"/>
      <c r="I40" s="30">
        <v>186.5</v>
      </c>
      <c r="J40" s="18">
        <v>234</v>
      </c>
      <c r="K40" s="18">
        <v>218.5</v>
      </c>
      <c r="L40" s="18">
        <v>274</v>
      </c>
      <c r="M40" s="33"/>
      <c r="O40" s="39">
        <f t="shared" si="11"/>
        <v>-0.11611374407582939</v>
      </c>
      <c r="P40" s="19">
        <f t="shared" si="11"/>
        <v>-5.2631578947368418E-2</v>
      </c>
      <c r="Q40" s="19">
        <f t="shared" si="11"/>
        <v>6.0679611650485438E-2</v>
      </c>
      <c r="R40" s="19">
        <f t="shared" si="11"/>
        <v>-9.1210613598673301E-2</v>
      </c>
      <c r="S40" s="19">
        <f t="shared" si="11"/>
        <v>-1</v>
      </c>
      <c r="T40" s="40">
        <f t="shared" si="3"/>
        <v>-5.5842812823164424E-2</v>
      </c>
    </row>
    <row r="41" spans="2:20" x14ac:dyDescent="0.25">
      <c r="B41" s="23" t="s">
        <v>16</v>
      </c>
      <c r="C41" s="30">
        <v>11</v>
      </c>
      <c r="D41" s="18">
        <v>8.5</v>
      </c>
      <c r="E41" s="18">
        <v>14</v>
      </c>
      <c r="F41" s="18">
        <v>20</v>
      </c>
      <c r="G41" s="33"/>
      <c r="H41" s="23"/>
      <c r="I41" s="30">
        <v>12</v>
      </c>
      <c r="J41" s="18">
        <v>13.5</v>
      </c>
      <c r="K41" s="18">
        <v>13</v>
      </c>
      <c r="L41" s="18">
        <v>18.5</v>
      </c>
      <c r="M41" s="33"/>
      <c r="O41" s="39">
        <f t="shared" si="11"/>
        <v>9.0909090909090912E-2</v>
      </c>
      <c r="P41" s="19">
        <f t="shared" si="11"/>
        <v>0.58823529411764708</v>
      </c>
      <c r="Q41" s="19">
        <f t="shared" si="11"/>
        <v>-7.1428571428571425E-2</v>
      </c>
      <c r="R41" s="19">
        <f t="shared" si="11"/>
        <v>-7.4999999999999997E-2</v>
      </c>
      <c r="T41" s="40">
        <f t="shared" si="3"/>
        <v>6.5420560747663545E-2</v>
      </c>
    </row>
    <row r="42" spans="2:20" x14ac:dyDescent="0.25">
      <c r="B42" s="23" t="s">
        <v>17</v>
      </c>
      <c r="C42" s="30">
        <v>20.5</v>
      </c>
      <c r="D42" s="18">
        <v>20</v>
      </c>
      <c r="E42" s="18">
        <v>25.5</v>
      </c>
      <c r="F42" s="18">
        <v>30</v>
      </c>
      <c r="G42" s="33"/>
      <c r="H42" s="23"/>
      <c r="I42" s="30">
        <v>30</v>
      </c>
      <c r="J42" s="18">
        <v>23</v>
      </c>
      <c r="K42" s="18">
        <v>35</v>
      </c>
      <c r="L42" s="18">
        <v>26</v>
      </c>
      <c r="M42" s="33"/>
      <c r="O42" s="39">
        <f t="shared" si="11"/>
        <v>0.46341463414634149</v>
      </c>
      <c r="P42" s="19">
        <f t="shared" si="11"/>
        <v>0.15</v>
      </c>
      <c r="Q42" s="19">
        <f t="shared" si="11"/>
        <v>0.37254901960784315</v>
      </c>
      <c r="R42" s="19">
        <f t="shared" si="11"/>
        <v>-0.13333333333333333</v>
      </c>
      <c r="T42" s="40">
        <f t="shared" si="3"/>
        <v>0.1875</v>
      </c>
    </row>
    <row r="43" spans="2:20" x14ac:dyDescent="0.25">
      <c r="B43" s="23" t="s">
        <v>19</v>
      </c>
      <c r="C43" s="30">
        <v>137.5</v>
      </c>
      <c r="D43" s="18">
        <v>97.5</v>
      </c>
      <c r="E43" s="18">
        <v>187.5</v>
      </c>
      <c r="F43" s="18">
        <v>364.5</v>
      </c>
      <c r="G43" s="33">
        <v>6.5</v>
      </c>
      <c r="H43" s="23"/>
      <c r="I43" s="30">
        <v>147.5</v>
      </c>
      <c r="J43" s="18">
        <v>125.5</v>
      </c>
      <c r="K43" s="18">
        <v>180.5</v>
      </c>
      <c r="L43" s="18">
        <v>313</v>
      </c>
      <c r="M43" s="33"/>
      <c r="O43" s="39">
        <f t="shared" si="11"/>
        <v>7.2727272727272724E-2</v>
      </c>
      <c r="P43" s="19">
        <f t="shared" si="11"/>
        <v>0.28717948717948716</v>
      </c>
      <c r="Q43" s="19">
        <f t="shared" si="11"/>
        <v>-3.7333333333333336E-2</v>
      </c>
      <c r="R43" s="19">
        <f t="shared" si="11"/>
        <v>-0.1412894375857339</v>
      </c>
      <c r="S43" s="19">
        <f>(M43-G43)/G43</f>
        <v>-1</v>
      </c>
      <c r="T43" s="40">
        <f t="shared" si="3"/>
        <v>-3.4026465028355386E-2</v>
      </c>
    </row>
    <row r="44" spans="2:20" x14ac:dyDescent="0.25">
      <c r="B44" s="23" t="s">
        <v>20</v>
      </c>
      <c r="C44" s="30">
        <v>130</v>
      </c>
      <c r="D44" s="18">
        <v>123.5</v>
      </c>
      <c r="E44" s="18">
        <v>126.5</v>
      </c>
      <c r="F44" s="18">
        <v>214</v>
      </c>
      <c r="G44" s="33">
        <v>0.5</v>
      </c>
      <c r="H44" s="23"/>
      <c r="I44" s="30">
        <v>48</v>
      </c>
      <c r="J44" s="18">
        <v>135</v>
      </c>
      <c r="K44" s="18">
        <v>125</v>
      </c>
      <c r="L44" s="18">
        <v>250</v>
      </c>
      <c r="M44" s="33"/>
      <c r="O44" s="39">
        <f t="shared" si="11"/>
        <v>-0.63076923076923075</v>
      </c>
      <c r="P44" s="19">
        <f t="shared" si="11"/>
        <v>9.3117408906882596E-2</v>
      </c>
      <c r="Q44" s="19">
        <f t="shared" si="11"/>
        <v>-1.1857707509881422E-2</v>
      </c>
      <c r="R44" s="19">
        <f t="shared" si="11"/>
        <v>0.16822429906542055</v>
      </c>
      <c r="S44" s="19">
        <f>(M44-G44)/G44</f>
        <v>-1</v>
      </c>
      <c r="T44" s="40">
        <f t="shared" si="3"/>
        <v>-6.1396131202691336E-2</v>
      </c>
    </row>
    <row r="45" spans="2:20" x14ac:dyDescent="0.25">
      <c r="B45" s="23"/>
      <c r="C45" s="30"/>
      <c r="G45" s="33"/>
      <c r="I45" s="30"/>
      <c r="M45" s="33"/>
      <c r="O45" s="39"/>
      <c r="T45" s="40"/>
    </row>
    <row r="46" spans="2:20" x14ac:dyDescent="0.25">
      <c r="B46" s="21" t="s">
        <v>58</v>
      </c>
      <c r="C46" s="32">
        <f>SUM(C47:C49)</f>
        <v>798</v>
      </c>
      <c r="D46" s="20"/>
      <c r="E46" s="20"/>
      <c r="F46" s="20"/>
      <c r="G46" s="33"/>
      <c r="H46" s="22"/>
      <c r="I46" s="32">
        <f>SUM(I47:I49)</f>
        <v>632.5</v>
      </c>
      <c r="J46" s="20">
        <f>SUM(J47:J49)</f>
        <v>117.5</v>
      </c>
      <c r="K46" s="20">
        <f>SUM(K47:K49)</f>
        <v>55.5</v>
      </c>
      <c r="L46" s="20">
        <f>SUM(L47:L49)</f>
        <v>2</v>
      </c>
      <c r="M46" s="33"/>
      <c r="O46" s="39">
        <f>(I46-C46)/C46</f>
        <v>-0.20739348370927319</v>
      </c>
      <c r="T46" s="40">
        <f t="shared" si="3"/>
        <v>1.1904761904761904E-2</v>
      </c>
    </row>
    <row r="47" spans="2:20" x14ac:dyDescent="0.25">
      <c r="B47" s="23" t="s">
        <v>37</v>
      </c>
      <c r="C47" s="30">
        <v>85</v>
      </c>
      <c r="G47" s="33"/>
      <c r="I47" s="30">
        <v>32.5</v>
      </c>
      <c r="J47" s="26">
        <v>24</v>
      </c>
      <c r="K47" s="26">
        <v>13.5</v>
      </c>
      <c r="L47" s="26">
        <v>2</v>
      </c>
      <c r="M47" s="33"/>
      <c r="O47" s="39">
        <f>(I47-C47)/C47</f>
        <v>-0.61764705882352944</v>
      </c>
      <c r="T47" s="40">
        <f t="shared" si="3"/>
        <v>-0.15294117647058825</v>
      </c>
    </row>
    <row r="48" spans="2:20" x14ac:dyDescent="0.25">
      <c r="B48" s="23" t="s">
        <v>35</v>
      </c>
      <c r="C48" s="30">
        <v>472</v>
      </c>
      <c r="G48" s="33"/>
      <c r="H48" s="23"/>
      <c r="I48" s="30">
        <v>490</v>
      </c>
      <c r="M48" s="33"/>
      <c r="O48" s="39">
        <f>(I48-C48)/C48</f>
        <v>3.8135593220338986E-2</v>
      </c>
      <c r="T48" s="40">
        <f t="shared" si="3"/>
        <v>3.8135593220338986E-2</v>
      </c>
    </row>
    <row r="49" spans="2:20" x14ac:dyDescent="0.25">
      <c r="B49" s="23" t="s">
        <v>36</v>
      </c>
      <c r="C49" s="30">
        <v>241</v>
      </c>
      <c r="G49" s="33"/>
      <c r="I49" s="30">
        <v>110</v>
      </c>
      <c r="J49" s="26">
        <v>93.5</v>
      </c>
      <c r="K49" s="26">
        <v>42</v>
      </c>
      <c r="M49" s="33"/>
      <c r="O49" s="39">
        <f>(I49-C49)/C49</f>
        <v>-0.54356846473029041</v>
      </c>
      <c r="P49" s="24"/>
      <c r="Q49" s="24"/>
      <c r="T49" s="40">
        <f t="shared" si="3"/>
        <v>1.8672199170124481E-2</v>
      </c>
    </row>
    <row r="50" spans="2:20" x14ac:dyDescent="0.25">
      <c r="B50" s="23"/>
      <c r="O50" s="24"/>
    </row>
    <row r="51" spans="2:20" x14ac:dyDescent="0.25">
      <c r="B51" s="23"/>
      <c r="O51" s="24"/>
    </row>
    <row r="52" spans="2:20" x14ac:dyDescent="0.25">
      <c r="O52" s="24"/>
    </row>
    <row r="53" spans="2:20" x14ac:dyDescent="0.25">
      <c r="O53" s="24"/>
    </row>
    <row r="56" spans="2:20" x14ac:dyDescent="0.25">
      <c r="B56" s="23"/>
    </row>
  </sheetData>
  <mergeCells count="3">
    <mergeCell ref="C2:G2"/>
    <mergeCell ref="I2:M2"/>
    <mergeCell ref="O2:T2"/>
  </mergeCells>
  <conditionalFormatting sqref="T3:T1048576">
    <cfRule type="cellIs" dxfId="0" priority="1" operator="lessThan">
      <formula>0</formula>
    </cfRule>
  </conditionalFormatting>
  <pageMargins left="0.25" right="0.25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743F-A325-4BAD-B7F3-CE8C0861B83B}">
  <dimension ref="A1:Q61"/>
  <sheetViews>
    <sheetView zoomScale="80" zoomScaleNormal="80" zoomScaleSheetLayoutView="70" workbookViewId="0">
      <selection activeCell="G17" sqref="G17"/>
    </sheetView>
  </sheetViews>
  <sheetFormatPr defaultRowHeight="15" x14ac:dyDescent="0.25"/>
  <cols>
    <col min="1" max="1" width="39.42578125" style="9" customWidth="1"/>
    <col min="2" max="2" width="14.7109375" style="9" customWidth="1"/>
    <col min="3" max="3" width="15.7109375" style="9" customWidth="1"/>
    <col min="4" max="4" width="11.5703125" style="9" customWidth="1"/>
    <col min="5" max="5" width="15.5703125" style="9" customWidth="1"/>
    <col min="6" max="6" width="9.140625" style="9" customWidth="1"/>
    <col min="7" max="7" width="15.7109375" style="9" customWidth="1"/>
    <col min="8" max="8" width="9.140625" style="9" customWidth="1"/>
    <col min="9" max="9" width="15.7109375" style="9" customWidth="1"/>
    <col min="10" max="10" width="16" style="9" customWidth="1"/>
    <col min="11" max="11" width="16.42578125" style="9" customWidth="1"/>
    <col min="12" max="13" width="21" style="9" customWidth="1"/>
    <col min="14" max="14" width="12.140625" style="9" customWidth="1"/>
    <col min="15" max="15" width="20.85546875" style="12" customWidth="1"/>
    <col min="16" max="16" width="21" style="10" hidden="1" customWidth="1"/>
    <col min="17" max="17" width="13.5703125" style="9" customWidth="1"/>
    <col min="18" max="16384" width="9.140625" style="9"/>
  </cols>
  <sheetData>
    <row r="1" spans="1:17" x14ac:dyDescent="0.25">
      <c r="A1" s="51" t="s">
        <v>80</v>
      </c>
    </row>
    <row r="2" spans="1:17" ht="60" x14ac:dyDescent="0.25">
      <c r="A2" s="52"/>
      <c r="B2" s="53" t="s">
        <v>39</v>
      </c>
      <c r="C2" s="53"/>
      <c r="D2" s="53" t="s">
        <v>40</v>
      </c>
      <c r="E2" s="53"/>
      <c r="F2" s="53" t="s">
        <v>41</v>
      </c>
      <c r="G2" s="53"/>
      <c r="H2" s="53" t="s">
        <v>42</v>
      </c>
      <c r="I2" s="53"/>
      <c r="J2" s="53" t="s">
        <v>43</v>
      </c>
      <c r="K2" s="53"/>
      <c r="L2" s="89" t="s">
        <v>89</v>
      </c>
      <c r="M2" s="54" t="s">
        <v>69</v>
      </c>
      <c r="N2" s="54" t="s">
        <v>90</v>
      </c>
      <c r="O2" s="85" t="s">
        <v>88</v>
      </c>
      <c r="P2" s="55" t="str">
        <f>"FY 2020-21 
with "&amp;O2</f>
        <v>FY 2020-21 
with Guardrail Allocation
(-1%, 12%)</v>
      </c>
      <c r="Q2" s="54" t="s">
        <v>90</v>
      </c>
    </row>
    <row r="3" spans="1:17" x14ac:dyDescent="0.25">
      <c r="A3" s="56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90"/>
      <c r="M3" s="57"/>
      <c r="N3" s="58">
        <f>AVERAGE(N4:N15)</f>
        <v>0.13736433460122335</v>
      </c>
      <c r="O3" s="86"/>
      <c r="P3" s="59"/>
      <c r="Q3" s="60"/>
    </row>
    <row r="4" spans="1:17" x14ac:dyDescent="0.25">
      <c r="A4" s="61" t="s">
        <v>22</v>
      </c>
      <c r="B4" s="62">
        <v>207.5</v>
      </c>
      <c r="C4" s="63">
        <f>B4*$B$51</f>
        <v>472062.5</v>
      </c>
      <c r="D4" s="62">
        <v>174.5</v>
      </c>
      <c r="E4" s="63">
        <f t="shared" ref="E4:E15" si="0">D4*$C$51</f>
        <v>467136.5</v>
      </c>
      <c r="F4" s="64">
        <v>125.5</v>
      </c>
      <c r="G4" s="63">
        <f t="shared" ref="G4:G15" si="1">F4*$D$51</f>
        <v>386414.5</v>
      </c>
      <c r="H4" s="64">
        <v>263.5</v>
      </c>
      <c r="I4" s="63">
        <f t="shared" ref="I4:I15" si="2">H4*$E$51</f>
        <v>917243.5</v>
      </c>
      <c r="J4" s="65">
        <v>7.5</v>
      </c>
      <c r="K4" s="63">
        <f t="shared" ref="K4:K15" si="3">J4*$B$51</f>
        <v>17062.5</v>
      </c>
      <c r="L4" s="91">
        <v>2259818</v>
      </c>
      <c r="M4" s="63">
        <f t="shared" ref="M4:M15" si="4">SUM(K4+I4+G4+E4+C4)</f>
        <v>2259919.5</v>
      </c>
      <c r="N4" s="66">
        <f t="shared" ref="N4:N15" si="5">(M4-L4)/L4</f>
        <v>4.4915121483234489E-5</v>
      </c>
      <c r="O4" s="87">
        <f t="shared" ref="O4:O46" si="6">IF(N4&lt;-0.01,L4*0.99,IF(N4&gt;0.12,L4*1.12,M4))</f>
        <v>2259919.5</v>
      </c>
      <c r="P4" s="67">
        <f t="shared" ref="P4:P15" si="7">IF(O4=FALSE,M4,O4)</f>
        <v>2259919.5</v>
      </c>
      <c r="Q4" s="68">
        <f t="shared" ref="Q4:Q15" si="8">(P4-L4)/L4</f>
        <v>4.4915121483234489E-5</v>
      </c>
    </row>
    <row r="5" spans="1:17" x14ac:dyDescent="0.25">
      <c r="A5" s="61" t="s">
        <v>23</v>
      </c>
      <c r="B5" s="62">
        <v>588</v>
      </c>
      <c r="C5" s="63">
        <f t="shared" ref="C5:C30" si="9">B5*$B$51</f>
        <v>1337700</v>
      </c>
      <c r="D5" s="62">
        <v>759.5</v>
      </c>
      <c r="E5" s="63">
        <f t="shared" si="0"/>
        <v>2033181.5</v>
      </c>
      <c r="F5" s="64">
        <v>574</v>
      </c>
      <c r="G5" s="63">
        <f t="shared" si="1"/>
        <v>1767346</v>
      </c>
      <c r="H5" s="64">
        <v>1157</v>
      </c>
      <c r="I5" s="63">
        <f t="shared" si="2"/>
        <v>4027517</v>
      </c>
      <c r="J5" s="65">
        <v>23</v>
      </c>
      <c r="K5" s="63">
        <f t="shared" si="3"/>
        <v>52325</v>
      </c>
      <c r="L5" s="91">
        <v>8358127</v>
      </c>
      <c r="M5" s="63">
        <f t="shared" si="4"/>
        <v>9218069.5</v>
      </c>
      <c r="N5" s="66">
        <f t="shared" si="5"/>
        <v>0.10288698652221963</v>
      </c>
      <c r="O5" s="87">
        <f t="shared" si="6"/>
        <v>9218069.5</v>
      </c>
      <c r="P5" s="67">
        <f t="shared" si="7"/>
        <v>9218069.5</v>
      </c>
      <c r="Q5" s="68">
        <f t="shared" si="8"/>
        <v>0.10288698652221963</v>
      </c>
    </row>
    <row r="6" spans="1:17" x14ac:dyDescent="0.25">
      <c r="A6" s="61" t="s">
        <v>25</v>
      </c>
      <c r="B6" s="62">
        <v>98.5</v>
      </c>
      <c r="C6" s="63">
        <f t="shared" si="9"/>
        <v>224087.5</v>
      </c>
      <c r="D6" s="62">
        <v>129.5</v>
      </c>
      <c r="E6" s="63">
        <f t="shared" si="0"/>
        <v>346671.5</v>
      </c>
      <c r="F6" s="64">
        <v>132.5</v>
      </c>
      <c r="G6" s="63">
        <f t="shared" si="1"/>
        <v>407967.5</v>
      </c>
      <c r="H6" s="64">
        <v>238.5</v>
      </c>
      <c r="I6" s="63">
        <f t="shared" si="2"/>
        <v>830218.5</v>
      </c>
      <c r="J6" s="65">
        <v>5.5</v>
      </c>
      <c r="K6" s="63">
        <f t="shared" si="3"/>
        <v>12512.5</v>
      </c>
      <c r="L6" s="91">
        <v>1618343</v>
      </c>
      <c r="M6" s="63">
        <f t="shared" si="4"/>
        <v>1821457.5</v>
      </c>
      <c r="N6" s="66">
        <f t="shared" si="5"/>
        <v>0.12550769521665062</v>
      </c>
      <c r="O6" s="87">
        <f t="shared" si="6"/>
        <v>1812544.1600000001</v>
      </c>
      <c r="P6" s="67">
        <f t="shared" si="7"/>
        <v>1812544.1600000001</v>
      </c>
      <c r="Q6" s="68">
        <f t="shared" si="8"/>
        <v>0.12000000000000009</v>
      </c>
    </row>
    <row r="7" spans="1:17" x14ac:dyDescent="0.25">
      <c r="A7" s="61" t="s">
        <v>26</v>
      </c>
      <c r="B7" s="62">
        <v>1176.5</v>
      </c>
      <c r="C7" s="63">
        <f t="shared" si="9"/>
        <v>2676537.5</v>
      </c>
      <c r="D7" s="62">
        <v>1033</v>
      </c>
      <c r="E7" s="63">
        <f t="shared" si="0"/>
        <v>2765341</v>
      </c>
      <c r="F7" s="64">
        <v>1241.5</v>
      </c>
      <c r="G7" s="63">
        <f t="shared" si="1"/>
        <v>3822578.5</v>
      </c>
      <c r="H7" s="64">
        <v>1680.5</v>
      </c>
      <c r="I7" s="63">
        <f t="shared" si="2"/>
        <v>5849820.5</v>
      </c>
      <c r="J7" s="65">
        <v>15</v>
      </c>
      <c r="K7" s="63">
        <f t="shared" si="3"/>
        <v>34125</v>
      </c>
      <c r="L7" s="91">
        <v>13125938</v>
      </c>
      <c r="M7" s="63">
        <f t="shared" si="4"/>
        <v>15148402.5</v>
      </c>
      <c r="N7" s="66">
        <f t="shared" si="5"/>
        <v>0.15408152164058675</v>
      </c>
      <c r="O7" s="87">
        <f t="shared" si="6"/>
        <v>14701050.560000001</v>
      </c>
      <c r="P7" s="67">
        <f t="shared" si="7"/>
        <v>14701050.560000001</v>
      </c>
      <c r="Q7" s="68">
        <f t="shared" si="8"/>
        <v>0.12000000000000004</v>
      </c>
    </row>
    <row r="8" spans="1:17" x14ac:dyDescent="0.25">
      <c r="A8" s="61" t="s">
        <v>27</v>
      </c>
      <c r="B8" s="62">
        <v>298.5</v>
      </c>
      <c r="C8" s="63">
        <f t="shared" si="9"/>
        <v>679087.5</v>
      </c>
      <c r="D8" s="62">
        <v>336.5</v>
      </c>
      <c r="E8" s="63">
        <f t="shared" si="0"/>
        <v>900810.5</v>
      </c>
      <c r="F8" s="64">
        <v>356</v>
      </c>
      <c r="G8" s="63">
        <f t="shared" si="1"/>
        <v>1096124</v>
      </c>
      <c r="H8" s="64">
        <v>687</v>
      </c>
      <c r="I8" s="63">
        <f t="shared" si="2"/>
        <v>2391447</v>
      </c>
      <c r="J8" s="65">
        <v>13</v>
      </c>
      <c r="K8" s="63">
        <f t="shared" si="3"/>
        <v>29575</v>
      </c>
      <c r="L8" s="91">
        <v>4579037</v>
      </c>
      <c r="M8" s="63">
        <f t="shared" si="4"/>
        <v>5097044</v>
      </c>
      <c r="N8" s="66">
        <f t="shared" si="5"/>
        <v>0.11312575111317073</v>
      </c>
      <c r="O8" s="87">
        <f t="shared" si="6"/>
        <v>5097044</v>
      </c>
      <c r="P8" s="67">
        <f t="shared" si="7"/>
        <v>5097044</v>
      </c>
      <c r="Q8" s="68">
        <f t="shared" si="8"/>
        <v>0.11312575111317073</v>
      </c>
    </row>
    <row r="9" spans="1:17" x14ac:dyDescent="0.25">
      <c r="A9" s="61" t="s">
        <v>28</v>
      </c>
      <c r="B9" s="62">
        <v>64.5</v>
      </c>
      <c r="C9" s="63">
        <f t="shared" si="9"/>
        <v>146737.5</v>
      </c>
      <c r="D9" s="62">
        <v>97.5</v>
      </c>
      <c r="E9" s="63">
        <f t="shared" si="0"/>
        <v>261007.5</v>
      </c>
      <c r="F9" s="64">
        <v>110.5</v>
      </c>
      <c r="G9" s="63">
        <f t="shared" si="1"/>
        <v>340229.5</v>
      </c>
      <c r="H9" s="64">
        <v>212</v>
      </c>
      <c r="I9" s="63">
        <f t="shared" si="2"/>
        <v>737972</v>
      </c>
      <c r="J9" s="65">
        <v>2</v>
      </c>
      <c r="K9" s="63">
        <f t="shared" si="3"/>
        <v>4550</v>
      </c>
      <c r="L9" s="91">
        <v>1497559</v>
      </c>
      <c r="M9" s="63">
        <f t="shared" si="4"/>
        <v>1490496.5</v>
      </c>
      <c r="N9" s="66">
        <f t="shared" si="5"/>
        <v>-4.7160078501080763E-3</v>
      </c>
      <c r="O9" s="87">
        <f t="shared" si="6"/>
        <v>1490496.5</v>
      </c>
      <c r="P9" s="67">
        <f t="shared" si="7"/>
        <v>1490496.5</v>
      </c>
      <c r="Q9" s="68">
        <f t="shared" si="8"/>
        <v>-4.7160078501080763E-3</v>
      </c>
    </row>
    <row r="10" spans="1:17" x14ac:dyDescent="0.25">
      <c r="A10" s="61" t="s">
        <v>29</v>
      </c>
      <c r="B10" s="62">
        <v>1454</v>
      </c>
      <c r="C10" s="63">
        <f t="shared" si="9"/>
        <v>3307850</v>
      </c>
      <c r="D10" s="62">
        <v>1421</v>
      </c>
      <c r="E10" s="63">
        <f t="shared" si="0"/>
        <v>3804017</v>
      </c>
      <c r="F10" s="64">
        <v>1629.5</v>
      </c>
      <c r="G10" s="63">
        <f t="shared" si="1"/>
        <v>5017230.5</v>
      </c>
      <c r="H10" s="64">
        <v>3412.5</v>
      </c>
      <c r="I10" s="63">
        <f t="shared" si="2"/>
        <v>11878912.5</v>
      </c>
      <c r="J10" s="62">
        <v>24.5</v>
      </c>
      <c r="K10" s="63">
        <f t="shared" si="3"/>
        <v>55737.5</v>
      </c>
      <c r="L10" s="91">
        <v>20913437</v>
      </c>
      <c r="M10" s="63">
        <f t="shared" si="4"/>
        <v>24063747.5</v>
      </c>
      <c r="N10" s="66">
        <f t="shared" si="5"/>
        <v>0.15063571329762773</v>
      </c>
      <c r="O10" s="87">
        <f t="shared" si="6"/>
        <v>23423049.440000001</v>
      </c>
      <c r="P10" s="67">
        <f t="shared" si="7"/>
        <v>23423049.440000001</v>
      </c>
      <c r="Q10" s="68">
        <f t="shared" si="8"/>
        <v>0.12000000000000006</v>
      </c>
    </row>
    <row r="11" spans="1:17" x14ac:dyDescent="0.25">
      <c r="A11" s="61" t="s">
        <v>30</v>
      </c>
      <c r="B11" s="62">
        <v>583.5</v>
      </c>
      <c r="C11" s="63">
        <f t="shared" si="9"/>
        <v>1327462.5</v>
      </c>
      <c r="D11" s="62">
        <v>819</v>
      </c>
      <c r="E11" s="63">
        <f t="shared" si="0"/>
        <v>2192463</v>
      </c>
      <c r="F11" s="64">
        <v>898</v>
      </c>
      <c r="G11" s="63">
        <f t="shared" si="1"/>
        <v>2764942</v>
      </c>
      <c r="H11" s="64">
        <v>1986.5</v>
      </c>
      <c r="I11" s="63">
        <f t="shared" si="2"/>
        <v>6915006.5</v>
      </c>
      <c r="J11" s="65">
        <v>13.5</v>
      </c>
      <c r="K11" s="63">
        <f t="shared" si="3"/>
        <v>30712.5</v>
      </c>
      <c r="L11" s="91">
        <v>10546316</v>
      </c>
      <c r="M11" s="63">
        <f t="shared" si="4"/>
        <v>13230586.5</v>
      </c>
      <c r="N11" s="66">
        <f t="shared" si="5"/>
        <v>0.25452210041876233</v>
      </c>
      <c r="O11" s="87">
        <f t="shared" si="6"/>
        <v>11811873.920000002</v>
      </c>
      <c r="P11" s="67">
        <f t="shared" si="7"/>
        <v>11811873.920000002</v>
      </c>
      <c r="Q11" s="68">
        <f t="shared" si="8"/>
        <v>0.12000000000000018</v>
      </c>
    </row>
    <row r="12" spans="1:17" x14ac:dyDescent="0.25">
      <c r="A12" s="61" t="s">
        <v>31</v>
      </c>
      <c r="B12" s="62">
        <v>587.5</v>
      </c>
      <c r="C12" s="63">
        <f t="shared" si="9"/>
        <v>1336562.5</v>
      </c>
      <c r="D12" s="62">
        <v>620</v>
      </c>
      <c r="E12" s="63">
        <f t="shared" si="0"/>
        <v>1659740</v>
      </c>
      <c r="F12" s="64">
        <v>677</v>
      </c>
      <c r="G12" s="63">
        <f t="shared" si="1"/>
        <v>2084483</v>
      </c>
      <c r="H12" s="64">
        <v>1562</v>
      </c>
      <c r="I12" s="63">
        <f t="shared" si="2"/>
        <v>5437322</v>
      </c>
      <c r="J12" s="65">
        <v>29.5</v>
      </c>
      <c r="K12" s="63">
        <f t="shared" si="3"/>
        <v>67112.5</v>
      </c>
      <c r="L12" s="91">
        <v>8941951</v>
      </c>
      <c r="M12" s="63">
        <f t="shared" si="4"/>
        <v>10585220</v>
      </c>
      <c r="N12" s="66">
        <f t="shared" si="5"/>
        <v>0.18377074533286974</v>
      </c>
      <c r="O12" s="87">
        <f t="shared" si="6"/>
        <v>10014985.120000001</v>
      </c>
      <c r="P12" s="67">
        <f t="shared" si="7"/>
        <v>10014985.120000001</v>
      </c>
      <c r="Q12" s="68">
        <f t="shared" si="8"/>
        <v>0.12000000000000012</v>
      </c>
    </row>
    <row r="13" spans="1:17" x14ac:dyDescent="0.25">
      <c r="A13" s="61" t="s">
        <v>32</v>
      </c>
      <c r="B13" s="62">
        <v>613.5</v>
      </c>
      <c r="C13" s="63">
        <f t="shared" si="9"/>
        <v>1395712.5</v>
      </c>
      <c r="D13" s="62">
        <v>729.5</v>
      </c>
      <c r="E13" s="63">
        <f t="shared" si="0"/>
        <v>1952871.5</v>
      </c>
      <c r="F13" s="64">
        <v>1063.5</v>
      </c>
      <c r="G13" s="63">
        <f t="shared" si="1"/>
        <v>3274516.5</v>
      </c>
      <c r="H13" s="64">
        <v>2048.5</v>
      </c>
      <c r="I13" s="63">
        <f t="shared" si="2"/>
        <v>7130828.5</v>
      </c>
      <c r="J13" s="65">
        <v>9.5</v>
      </c>
      <c r="K13" s="63">
        <f t="shared" si="3"/>
        <v>21612.5</v>
      </c>
      <c r="L13" s="91">
        <v>11286802</v>
      </c>
      <c r="M13" s="63">
        <f t="shared" si="4"/>
        <v>13775541.5</v>
      </c>
      <c r="N13" s="66">
        <f t="shared" si="5"/>
        <v>0.22049996978772199</v>
      </c>
      <c r="O13" s="87">
        <f t="shared" si="6"/>
        <v>12641218.240000002</v>
      </c>
      <c r="P13" s="67">
        <f t="shared" si="7"/>
        <v>12641218.240000002</v>
      </c>
      <c r="Q13" s="68">
        <f t="shared" si="8"/>
        <v>0.12000000000000019</v>
      </c>
    </row>
    <row r="14" spans="1:17" x14ac:dyDescent="0.25">
      <c r="A14" s="61" t="s">
        <v>33</v>
      </c>
      <c r="B14" s="62">
        <v>647</v>
      </c>
      <c r="C14" s="63">
        <f t="shared" si="9"/>
        <v>1471925</v>
      </c>
      <c r="D14" s="62">
        <v>527</v>
      </c>
      <c r="E14" s="63">
        <f t="shared" si="0"/>
        <v>1410779</v>
      </c>
      <c r="F14" s="64">
        <v>635.5</v>
      </c>
      <c r="G14" s="63">
        <f t="shared" si="1"/>
        <v>1956704.5</v>
      </c>
      <c r="H14" s="64">
        <v>1298.5</v>
      </c>
      <c r="I14" s="63">
        <f t="shared" si="2"/>
        <v>4520078.5</v>
      </c>
      <c r="J14" s="65">
        <v>3</v>
      </c>
      <c r="K14" s="63">
        <f t="shared" si="3"/>
        <v>6825</v>
      </c>
      <c r="L14" s="91">
        <v>7280013</v>
      </c>
      <c r="M14" s="63">
        <f t="shared" si="4"/>
        <v>9366312</v>
      </c>
      <c r="N14" s="66">
        <f t="shared" si="5"/>
        <v>0.28657902121878082</v>
      </c>
      <c r="O14" s="87">
        <f t="shared" si="6"/>
        <v>8153614.5600000005</v>
      </c>
      <c r="P14" s="67">
        <f t="shared" si="7"/>
        <v>8153614.5600000005</v>
      </c>
      <c r="Q14" s="68">
        <f t="shared" si="8"/>
        <v>0.12000000000000006</v>
      </c>
    </row>
    <row r="15" spans="1:17" x14ac:dyDescent="0.25">
      <c r="A15" s="61" t="s">
        <v>34</v>
      </c>
      <c r="B15" s="62">
        <v>71.5</v>
      </c>
      <c r="C15" s="63">
        <f t="shared" si="9"/>
        <v>162662.5</v>
      </c>
      <c r="D15" s="62">
        <v>99</v>
      </c>
      <c r="E15" s="63">
        <f t="shared" si="0"/>
        <v>265023</v>
      </c>
      <c r="F15" s="64">
        <v>92.5</v>
      </c>
      <c r="G15" s="63">
        <f t="shared" si="1"/>
        <v>284807.5</v>
      </c>
      <c r="H15" s="64">
        <v>194.5</v>
      </c>
      <c r="I15" s="63">
        <f t="shared" si="2"/>
        <v>677054.5</v>
      </c>
      <c r="J15" s="65">
        <v>0.5</v>
      </c>
      <c r="K15" s="63">
        <f t="shared" si="3"/>
        <v>1137.5</v>
      </c>
      <c r="L15" s="91">
        <v>1310195</v>
      </c>
      <c r="M15" s="63">
        <f t="shared" si="4"/>
        <v>1390685</v>
      </c>
      <c r="N15" s="66">
        <f t="shared" si="5"/>
        <v>6.14336033949145E-2</v>
      </c>
      <c r="O15" s="87">
        <f t="shared" si="6"/>
        <v>1390685</v>
      </c>
      <c r="P15" s="67">
        <f t="shared" si="7"/>
        <v>1390685</v>
      </c>
      <c r="Q15" s="68">
        <f t="shared" si="8"/>
        <v>6.14336033949145E-2</v>
      </c>
    </row>
    <row r="16" spans="1:17" x14ac:dyDescent="0.25">
      <c r="A16" s="69"/>
      <c r="B16" s="65"/>
      <c r="C16" s="63"/>
      <c r="D16" s="62"/>
      <c r="E16" s="63"/>
      <c r="F16" s="65"/>
      <c r="G16" s="63"/>
      <c r="H16" s="65"/>
      <c r="I16" s="63"/>
      <c r="J16" s="65"/>
      <c r="K16" s="63"/>
      <c r="L16" s="92"/>
      <c r="M16" s="63"/>
      <c r="N16" s="66"/>
      <c r="O16" s="87">
        <f t="shared" si="6"/>
        <v>0</v>
      </c>
      <c r="P16" s="67"/>
      <c r="Q16" s="68"/>
    </row>
    <row r="17" spans="1:17" x14ac:dyDescent="0.25">
      <c r="A17" s="70" t="s">
        <v>45</v>
      </c>
      <c r="B17" s="65"/>
      <c r="C17" s="63"/>
      <c r="D17" s="6"/>
      <c r="E17" s="63"/>
      <c r="F17" s="65"/>
      <c r="G17" s="63"/>
      <c r="H17" s="65"/>
      <c r="I17" s="63"/>
      <c r="J17" s="65"/>
      <c r="K17" s="63"/>
      <c r="L17" s="92"/>
      <c r="M17" s="63"/>
      <c r="N17" s="66"/>
      <c r="O17" s="87">
        <f t="shared" si="6"/>
        <v>0</v>
      </c>
      <c r="P17" s="67"/>
      <c r="Q17" s="68"/>
    </row>
    <row r="18" spans="1:17" x14ac:dyDescent="0.25">
      <c r="A18" s="61" t="s">
        <v>2</v>
      </c>
      <c r="B18" s="62">
        <v>528.5</v>
      </c>
      <c r="C18" s="63">
        <f t="shared" si="9"/>
        <v>1202337.5</v>
      </c>
      <c r="D18" s="64">
        <v>603.5</v>
      </c>
      <c r="E18" s="63">
        <f t="shared" ref="E18:E30" si="10">D18*$C$51</f>
        <v>1615569.5</v>
      </c>
      <c r="F18" s="62">
        <v>3</v>
      </c>
      <c r="G18" s="71">
        <f t="shared" ref="G18" si="11">F18*$D$51</f>
        <v>9237</v>
      </c>
      <c r="H18" s="62"/>
      <c r="I18" s="63"/>
      <c r="J18" s="72"/>
      <c r="K18" s="63"/>
      <c r="L18" s="91">
        <v>3004148</v>
      </c>
      <c r="M18" s="63">
        <f t="shared" ref="M18:M30" si="12">SUM(K18+I18+G18+E18+C18)</f>
        <v>2827144</v>
      </c>
      <c r="N18" s="66">
        <f t="shared" ref="N18:N30" si="13">(M18-L18)/L18</f>
        <v>-5.8919866797507978E-2</v>
      </c>
      <c r="O18" s="87">
        <f t="shared" si="6"/>
        <v>2974106.52</v>
      </c>
      <c r="P18" s="67">
        <f t="shared" ref="P18:P30" si="14">IF(O18=FALSE,M18,O18)</f>
        <v>2974106.52</v>
      </c>
      <c r="Q18" s="68">
        <f t="shared" ref="Q18:Q30" si="15">(P18-L18)/L18</f>
        <v>-9.9999999999999933E-3</v>
      </c>
    </row>
    <row r="19" spans="1:17" x14ac:dyDescent="0.25">
      <c r="A19" s="61" t="s">
        <v>3</v>
      </c>
      <c r="B19" s="62">
        <v>58.5</v>
      </c>
      <c r="C19" s="63">
        <f t="shared" si="9"/>
        <v>133087.5</v>
      </c>
      <c r="D19" s="64">
        <v>145</v>
      </c>
      <c r="E19" s="63">
        <f t="shared" si="10"/>
        <v>388165</v>
      </c>
      <c r="F19" s="62"/>
      <c r="G19" s="71"/>
      <c r="H19" s="62"/>
      <c r="I19" s="63"/>
      <c r="J19" s="72"/>
      <c r="K19" s="63"/>
      <c r="L19" s="91">
        <v>476475</v>
      </c>
      <c r="M19" s="63">
        <f t="shared" si="12"/>
        <v>521252.5</v>
      </c>
      <c r="N19" s="66">
        <f t="shared" si="13"/>
        <v>9.3976598982108195E-2</v>
      </c>
      <c r="O19" s="87">
        <f t="shared" si="6"/>
        <v>521252.5</v>
      </c>
      <c r="P19" s="67">
        <f t="shared" si="14"/>
        <v>521252.5</v>
      </c>
      <c r="Q19" s="68">
        <f t="shared" si="15"/>
        <v>9.3976598982108195E-2</v>
      </c>
    </row>
    <row r="20" spans="1:17" x14ac:dyDescent="0.25">
      <c r="A20" s="61" t="s">
        <v>4</v>
      </c>
      <c r="B20" s="62">
        <v>737</v>
      </c>
      <c r="C20" s="63">
        <f t="shared" si="9"/>
        <v>1676675</v>
      </c>
      <c r="D20" s="64">
        <v>824.5</v>
      </c>
      <c r="E20" s="63">
        <f t="shared" si="10"/>
        <v>2207186.5</v>
      </c>
      <c r="F20" s="62"/>
      <c r="G20" s="71"/>
      <c r="H20" s="62"/>
      <c r="I20" s="63"/>
      <c r="J20" s="72"/>
      <c r="K20" s="63"/>
      <c r="L20" s="91">
        <v>3851839</v>
      </c>
      <c r="M20" s="63">
        <f t="shared" si="12"/>
        <v>3883861.5</v>
      </c>
      <c r="N20" s="66">
        <f t="shared" si="13"/>
        <v>8.3135613923634912E-3</v>
      </c>
      <c r="O20" s="87">
        <f t="shared" si="6"/>
        <v>3883861.5</v>
      </c>
      <c r="P20" s="67">
        <f t="shared" si="14"/>
        <v>3883861.5</v>
      </c>
      <c r="Q20" s="68">
        <f t="shared" si="15"/>
        <v>8.3135613923634912E-3</v>
      </c>
    </row>
    <row r="21" spans="1:17" x14ac:dyDescent="0.25">
      <c r="A21" s="61" t="s">
        <v>5</v>
      </c>
      <c r="B21" s="62">
        <v>1169.5</v>
      </c>
      <c r="C21" s="63">
        <f t="shared" si="9"/>
        <v>2660612.5</v>
      </c>
      <c r="D21" s="64">
        <v>1049</v>
      </c>
      <c r="E21" s="63">
        <f t="shared" si="10"/>
        <v>2808173</v>
      </c>
      <c r="F21" s="62"/>
      <c r="G21" s="71"/>
      <c r="H21" s="62">
        <v>1.5</v>
      </c>
      <c r="I21" s="71">
        <f>H21*$E$51</f>
        <v>5221.5</v>
      </c>
      <c r="J21" s="72">
        <v>0.5</v>
      </c>
      <c r="K21" s="63"/>
      <c r="L21" s="91">
        <v>5340274</v>
      </c>
      <c r="M21" s="63">
        <f t="shared" si="12"/>
        <v>5474007</v>
      </c>
      <c r="N21" s="66">
        <f t="shared" si="13"/>
        <v>2.504234801435282E-2</v>
      </c>
      <c r="O21" s="87">
        <f t="shared" si="6"/>
        <v>5474007</v>
      </c>
      <c r="P21" s="67">
        <f t="shared" si="14"/>
        <v>5474007</v>
      </c>
      <c r="Q21" s="68">
        <f t="shared" si="15"/>
        <v>2.504234801435282E-2</v>
      </c>
    </row>
    <row r="22" spans="1:17" x14ac:dyDescent="0.25">
      <c r="A22" s="61" t="s">
        <v>6</v>
      </c>
      <c r="B22" s="62">
        <v>1706</v>
      </c>
      <c r="C22" s="63">
        <f t="shared" si="9"/>
        <v>3881150</v>
      </c>
      <c r="D22" s="64">
        <v>1904.5</v>
      </c>
      <c r="E22" s="63">
        <f t="shared" si="10"/>
        <v>5098346.5</v>
      </c>
      <c r="F22" s="62"/>
      <c r="G22" s="71"/>
      <c r="H22" s="62"/>
      <c r="I22" s="71"/>
      <c r="J22" s="72"/>
      <c r="K22" s="63"/>
      <c r="L22" s="91">
        <v>8960400</v>
      </c>
      <c r="M22" s="63">
        <f t="shared" si="12"/>
        <v>8979496.5</v>
      </c>
      <c r="N22" s="66">
        <f t="shared" si="13"/>
        <v>2.1312106602383823E-3</v>
      </c>
      <c r="O22" s="87">
        <f t="shared" si="6"/>
        <v>8979496.5</v>
      </c>
      <c r="P22" s="67">
        <f t="shared" si="14"/>
        <v>8979496.5</v>
      </c>
      <c r="Q22" s="68">
        <f t="shared" si="15"/>
        <v>2.1312106602383823E-3</v>
      </c>
    </row>
    <row r="23" spans="1:17" x14ac:dyDescent="0.25">
      <c r="A23" s="61" t="s">
        <v>7</v>
      </c>
      <c r="B23" s="62">
        <v>94</v>
      </c>
      <c r="C23" s="63">
        <f t="shared" si="9"/>
        <v>213850</v>
      </c>
      <c r="D23" s="64">
        <v>150.5</v>
      </c>
      <c r="E23" s="63">
        <f t="shared" si="10"/>
        <v>402888.5</v>
      </c>
      <c r="F23" s="62"/>
      <c r="G23" s="71"/>
      <c r="H23" s="62"/>
      <c r="I23" s="71"/>
      <c r="J23" s="72"/>
      <c r="K23" s="63"/>
      <c r="L23" s="91">
        <v>534912</v>
      </c>
      <c r="M23" s="63">
        <f t="shared" si="12"/>
        <v>616738.5</v>
      </c>
      <c r="N23" s="66">
        <f t="shared" si="13"/>
        <v>0.15297189070351758</v>
      </c>
      <c r="O23" s="87">
        <f t="shared" si="6"/>
        <v>599101.44000000006</v>
      </c>
      <c r="P23" s="67">
        <f t="shared" si="14"/>
        <v>599101.44000000006</v>
      </c>
      <c r="Q23" s="68">
        <f t="shared" si="15"/>
        <v>0.12000000000000011</v>
      </c>
    </row>
    <row r="24" spans="1:17" x14ac:dyDescent="0.25">
      <c r="A24" s="61" t="s">
        <v>8</v>
      </c>
      <c r="B24" s="62">
        <v>76.5</v>
      </c>
      <c r="C24" s="63">
        <f t="shared" si="9"/>
        <v>174037.5</v>
      </c>
      <c r="D24" s="64">
        <v>151.5</v>
      </c>
      <c r="E24" s="63">
        <f t="shared" si="10"/>
        <v>405565.5</v>
      </c>
      <c r="F24" s="62"/>
      <c r="G24" s="71"/>
      <c r="H24" s="62"/>
      <c r="I24" s="71"/>
      <c r="J24" s="72"/>
      <c r="K24" s="63"/>
      <c r="L24" s="91">
        <v>657553</v>
      </c>
      <c r="M24" s="63">
        <f t="shared" si="12"/>
        <v>579603</v>
      </c>
      <c r="N24" s="66">
        <f t="shared" si="13"/>
        <v>-0.11854557731468034</v>
      </c>
      <c r="O24" s="87">
        <f t="shared" si="6"/>
        <v>650977.47</v>
      </c>
      <c r="P24" s="67">
        <f t="shared" si="14"/>
        <v>650977.47</v>
      </c>
      <c r="Q24" s="68">
        <f t="shared" si="15"/>
        <v>-1.0000000000000042E-2</v>
      </c>
    </row>
    <row r="25" spans="1:17" x14ac:dyDescent="0.25">
      <c r="A25" s="61" t="s">
        <v>9</v>
      </c>
      <c r="B25" s="62">
        <v>127.5</v>
      </c>
      <c r="C25" s="63">
        <f t="shared" si="9"/>
        <v>290062.5</v>
      </c>
      <c r="D25" s="64">
        <v>227</v>
      </c>
      <c r="E25" s="63">
        <f t="shared" si="10"/>
        <v>607679</v>
      </c>
      <c r="F25" s="62"/>
      <c r="G25" s="71"/>
      <c r="H25" s="62"/>
      <c r="I25" s="71"/>
      <c r="J25" s="72"/>
      <c r="K25" s="63"/>
      <c r="L25" s="91">
        <v>866153</v>
      </c>
      <c r="M25" s="63">
        <f t="shared" si="12"/>
        <v>897741.5</v>
      </c>
      <c r="N25" s="66">
        <f t="shared" si="13"/>
        <v>3.6469884650864225E-2</v>
      </c>
      <c r="O25" s="87">
        <f t="shared" si="6"/>
        <v>897741.5</v>
      </c>
      <c r="P25" s="67">
        <f t="shared" si="14"/>
        <v>897741.5</v>
      </c>
      <c r="Q25" s="68">
        <f t="shared" si="15"/>
        <v>3.6469884650864225E-2</v>
      </c>
    </row>
    <row r="26" spans="1:17" x14ac:dyDescent="0.25">
      <c r="A26" s="61" t="s">
        <v>10</v>
      </c>
      <c r="B26" s="62">
        <v>146</v>
      </c>
      <c r="C26" s="63">
        <f t="shared" si="9"/>
        <v>332150</v>
      </c>
      <c r="D26" s="64">
        <v>309.5</v>
      </c>
      <c r="E26" s="63">
        <f t="shared" si="10"/>
        <v>828531.5</v>
      </c>
      <c r="F26" s="62"/>
      <c r="G26" s="71"/>
      <c r="H26" s="62"/>
      <c r="I26" s="71"/>
      <c r="J26" s="72"/>
      <c r="K26" s="63"/>
      <c r="L26" s="91">
        <v>1026685</v>
      </c>
      <c r="M26" s="63">
        <f t="shared" si="12"/>
        <v>1160681.5</v>
      </c>
      <c r="N26" s="66">
        <f t="shared" si="13"/>
        <v>0.13051374082605668</v>
      </c>
      <c r="O26" s="87">
        <f t="shared" si="6"/>
        <v>1149887.2000000002</v>
      </c>
      <c r="P26" s="67">
        <f t="shared" si="14"/>
        <v>1149887.2000000002</v>
      </c>
      <c r="Q26" s="68">
        <f t="shared" si="15"/>
        <v>0.12000000000000018</v>
      </c>
    </row>
    <row r="27" spans="1:17" x14ac:dyDescent="0.25">
      <c r="A27" s="61" t="s">
        <v>11</v>
      </c>
      <c r="B27" s="62">
        <v>1970</v>
      </c>
      <c r="C27" s="63">
        <f t="shared" si="9"/>
        <v>4481750</v>
      </c>
      <c r="D27" s="64">
        <v>2652.5</v>
      </c>
      <c r="E27" s="63">
        <f t="shared" si="10"/>
        <v>7100742.5</v>
      </c>
      <c r="F27" s="62">
        <v>2</v>
      </c>
      <c r="G27" s="71">
        <f>F27*$D$51</f>
        <v>6158</v>
      </c>
      <c r="H27" s="62">
        <v>2</v>
      </c>
      <c r="I27" s="71"/>
      <c r="J27" s="72">
        <v>1</v>
      </c>
      <c r="K27" s="63"/>
      <c r="L27" s="91">
        <v>9993071</v>
      </c>
      <c r="M27" s="63">
        <f t="shared" si="12"/>
        <v>11588650.5</v>
      </c>
      <c r="N27" s="66">
        <f t="shared" si="13"/>
        <v>0.15966858436210452</v>
      </c>
      <c r="O27" s="87">
        <f t="shared" si="6"/>
        <v>11192239.520000001</v>
      </c>
      <c r="P27" s="67">
        <f t="shared" si="14"/>
        <v>11192239.520000001</v>
      </c>
      <c r="Q27" s="68">
        <f t="shared" si="15"/>
        <v>0.12000000000000015</v>
      </c>
    </row>
    <row r="28" spans="1:17" x14ac:dyDescent="0.25">
      <c r="A28" s="61" t="s">
        <v>12</v>
      </c>
      <c r="B28" s="62">
        <v>869.5</v>
      </c>
      <c r="C28" s="63">
        <f t="shared" si="9"/>
        <v>1978112.5</v>
      </c>
      <c r="D28" s="64">
        <v>1000.5</v>
      </c>
      <c r="E28" s="63">
        <f t="shared" si="10"/>
        <v>2678338.5</v>
      </c>
      <c r="F28" s="62"/>
      <c r="G28" s="71"/>
      <c r="H28" s="62">
        <v>7.5</v>
      </c>
      <c r="I28" s="71">
        <f t="shared" ref="I28:I29" si="16">H28*$E$51</f>
        <v>26107.5</v>
      </c>
      <c r="J28" s="72">
        <v>1</v>
      </c>
      <c r="K28" s="63"/>
      <c r="L28" s="91">
        <v>4756617</v>
      </c>
      <c r="M28" s="63">
        <f t="shared" si="12"/>
        <v>4682558.5</v>
      </c>
      <c r="N28" s="66">
        <f t="shared" si="13"/>
        <v>-1.5569573921970174E-2</v>
      </c>
      <c r="O28" s="87">
        <f t="shared" si="6"/>
        <v>4709050.83</v>
      </c>
      <c r="P28" s="67">
        <f t="shared" si="14"/>
        <v>4709050.83</v>
      </c>
      <c r="Q28" s="68">
        <f t="shared" si="15"/>
        <v>-9.9999999999999846E-3</v>
      </c>
    </row>
    <row r="29" spans="1:17" x14ac:dyDescent="0.25">
      <c r="A29" s="61" t="s">
        <v>13</v>
      </c>
      <c r="B29" s="62">
        <v>692.5</v>
      </c>
      <c r="C29" s="63">
        <f t="shared" si="9"/>
        <v>1575437.5</v>
      </c>
      <c r="D29" s="64">
        <v>871.5</v>
      </c>
      <c r="E29" s="63">
        <f t="shared" si="10"/>
        <v>2333005.5</v>
      </c>
      <c r="F29" s="62">
        <v>1</v>
      </c>
      <c r="G29" s="71">
        <f t="shared" ref="G29" si="17">F29*$D$51</f>
        <v>3079</v>
      </c>
      <c r="H29" s="62">
        <v>2</v>
      </c>
      <c r="I29" s="71">
        <f t="shared" si="16"/>
        <v>6962</v>
      </c>
      <c r="J29" s="72"/>
      <c r="K29" s="63"/>
      <c r="L29" s="91">
        <v>3816273</v>
      </c>
      <c r="M29" s="63">
        <f t="shared" si="12"/>
        <v>3918484</v>
      </c>
      <c r="N29" s="66">
        <f t="shared" si="13"/>
        <v>2.678293717456796E-2</v>
      </c>
      <c r="O29" s="87">
        <f t="shared" si="6"/>
        <v>3918484</v>
      </c>
      <c r="P29" s="67">
        <f t="shared" si="14"/>
        <v>3918484</v>
      </c>
      <c r="Q29" s="68">
        <f t="shared" si="15"/>
        <v>2.678293717456796E-2</v>
      </c>
    </row>
    <row r="30" spans="1:17" x14ac:dyDescent="0.25">
      <c r="A30" s="61" t="s">
        <v>14</v>
      </c>
      <c r="B30" s="62">
        <v>135.5</v>
      </c>
      <c r="C30" s="63">
        <f t="shared" si="9"/>
        <v>308262.5</v>
      </c>
      <c r="D30" s="64">
        <v>375</v>
      </c>
      <c r="E30" s="63">
        <f t="shared" si="10"/>
        <v>1003875</v>
      </c>
      <c r="F30" s="62"/>
      <c r="G30" s="63"/>
      <c r="H30" s="62"/>
      <c r="I30" s="63"/>
      <c r="J30" s="72">
        <v>2.5</v>
      </c>
      <c r="K30" s="63"/>
      <c r="L30" s="91">
        <v>1172874</v>
      </c>
      <c r="M30" s="63">
        <f t="shared" si="12"/>
        <v>1312137.5</v>
      </c>
      <c r="N30" s="66">
        <f t="shared" si="13"/>
        <v>0.11873696577808017</v>
      </c>
      <c r="O30" s="87">
        <f t="shared" si="6"/>
        <v>1312137.5</v>
      </c>
      <c r="P30" s="67">
        <f t="shared" si="14"/>
        <v>1312137.5</v>
      </c>
      <c r="Q30" s="68">
        <f t="shared" si="15"/>
        <v>0.11873696577808017</v>
      </c>
    </row>
    <row r="31" spans="1:17" x14ac:dyDescent="0.25">
      <c r="A31" s="69"/>
      <c r="B31" s="65"/>
      <c r="C31" s="63"/>
      <c r="D31" s="62"/>
      <c r="E31" s="63"/>
      <c r="F31" s="65"/>
      <c r="G31" s="63"/>
      <c r="H31" s="65"/>
      <c r="I31" s="63"/>
      <c r="J31" s="65"/>
      <c r="K31" s="63"/>
      <c r="L31" s="92"/>
      <c r="M31" s="63"/>
      <c r="N31" s="66"/>
      <c r="O31" s="87">
        <f t="shared" si="6"/>
        <v>0</v>
      </c>
      <c r="P31" s="67"/>
      <c r="Q31" s="68"/>
    </row>
    <row r="32" spans="1:17" x14ac:dyDescent="0.25">
      <c r="A32" s="70" t="s">
        <v>38</v>
      </c>
      <c r="B32" s="65"/>
      <c r="C32" s="63"/>
      <c r="D32" s="62"/>
      <c r="E32" s="63"/>
      <c r="F32" s="65"/>
      <c r="G32" s="63"/>
      <c r="H32" s="65"/>
      <c r="I32" s="63"/>
      <c r="J32" s="65"/>
      <c r="K32" s="63"/>
      <c r="L32" s="92"/>
      <c r="M32" s="63"/>
      <c r="N32" s="66"/>
      <c r="O32" s="87">
        <f t="shared" si="6"/>
        <v>0</v>
      </c>
      <c r="P32" s="67"/>
      <c r="Q32" s="68"/>
    </row>
    <row r="33" spans="1:17" x14ac:dyDescent="0.25">
      <c r="A33" s="61" t="s">
        <v>1</v>
      </c>
      <c r="B33" s="62">
        <v>899.5</v>
      </c>
      <c r="C33" s="63">
        <f>B33*$B$51</f>
        <v>2046362.5</v>
      </c>
      <c r="D33" s="64">
        <v>1007</v>
      </c>
      <c r="E33" s="63">
        <f>D33*$C$51</f>
        <v>2695739</v>
      </c>
      <c r="F33" s="65"/>
      <c r="G33" s="63"/>
      <c r="H33" s="65"/>
      <c r="I33" s="63"/>
      <c r="J33" s="65"/>
      <c r="K33" s="63"/>
      <c r="L33" s="91">
        <v>3621278</v>
      </c>
      <c r="M33" s="63">
        <f>SUM(K33+I33+G33+E33+C33)</f>
        <v>4742101.5</v>
      </c>
      <c r="N33" s="66">
        <f>(M33-L33)/L33</f>
        <v>0.30951048221097632</v>
      </c>
      <c r="O33" s="87">
        <f t="shared" si="6"/>
        <v>4055831.3600000003</v>
      </c>
      <c r="P33" s="67">
        <f>IF(O33=FALSE,M33,O33)</f>
        <v>4055831.3600000003</v>
      </c>
      <c r="Q33" s="68">
        <f>(P33-L33)/L33</f>
        <v>0.12000000000000009</v>
      </c>
    </row>
    <row r="34" spans="1:17" x14ac:dyDescent="0.25">
      <c r="A34" s="61" t="s">
        <v>24</v>
      </c>
      <c r="B34" s="62">
        <v>632</v>
      </c>
      <c r="C34" s="63">
        <f>B34*$B$51</f>
        <v>1437800</v>
      </c>
      <c r="D34" s="62">
        <v>404</v>
      </c>
      <c r="E34" s="63">
        <f>D34*$C$51</f>
        <v>1081508</v>
      </c>
      <c r="F34" s="65">
        <v>25</v>
      </c>
      <c r="G34" s="63">
        <f>F34*$D$51</f>
        <v>76975</v>
      </c>
      <c r="H34" s="65">
        <v>0</v>
      </c>
      <c r="I34" s="63">
        <f>H34*$E$51</f>
        <v>0</v>
      </c>
      <c r="J34" s="65"/>
      <c r="K34" s="63">
        <f>J34*$B$51</f>
        <v>0</v>
      </c>
      <c r="L34" s="91">
        <v>2203668</v>
      </c>
      <c r="M34" s="63">
        <f>SUM(K34+I34+G34+E34+C34)</f>
        <v>2596283</v>
      </c>
      <c r="N34" s="66">
        <f>(M34-L34)/L34</f>
        <v>0.17816431513276954</v>
      </c>
      <c r="O34" s="87">
        <f t="shared" si="6"/>
        <v>2468108.16</v>
      </c>
      <c r="P34" s="67">
        <f>IF(O34=FALSE,M34,O34)</f>
        <v>2468108.16</v>
      </c>
      <c r="Q34" s="68">
        <f>(P34-L34)/L34</f>
        <v>0.12000000000000006</v>
      </c>
    </row>
    <row r="35" spans="1:17" x14ac:dyDescent="0.25">
      <c r="A35" s="69"/>
      <c r="B35" s="65"/>
      <c r="C35" s="63"/>
      <c r="D35" s="62"/>
      <c r="E35" s="63"/>
      <c r="F35" s="65"/>
      <c r="G35" s="63"/>
      <c r="H35" s="65"/>
      <c r="I35" s="63"/>
      <c r="J35" s="65"/>
      <c r="K35" s="63"/>
      <c r="L35" s="92"/>
      <c r="M35" s="63"/>
      <c r="N35" s="66"/>
      <c r="O35" s="87">
        <f t="shared" si="6"/>
        <v>0</v>
      </c>
      <c r="P35" s="67"/>
      <c r="Q35" s="68"/>
    </row>
    <row r="36" spans="1:17" x14ac:dyDescent="0.25">
      <c r="A36" s="70" t="s">
        <v>46</v>
      </c>
      <c r="B36" s="65"/>
      <c r="C36" s="63"/>
      <c r="D36" s="6"/>
      <c r="E36" s="63"/>
      <c r="F36" s="65"/>
      <c r="G36" s="63"/>
      <c r="H36" s="65"/>
      <c r="I36" s="63"/>
      <c r="J36" s="65"/>
      <c r="K36" s="63"/>
      <c r="L36" s="92"/>
      <c r="M36" s="63"/>
      <c r="N36" s="66"/>
      <c r="O36" s="87">
        <f t="shared" si="6"/>
        <v>0</v>
      </c>
      <c r="P36" s="67"/>
      <c r="Q36" s="68"/>
    </row>
    <row r="37" spans="1:17" x14ac:dyDescent="0.25">
      <c r="A37" s="61" t="s">
        <v>18</v>
      </c>
      <c r="B37" s="62">
        <v>186.5</v>
      </c>
      <c r="C37" s="63">
        <f>B37*$B$51</f>
        <v>424287.5</v>
      </c>
      <c r="D37" s="64">
        <v>234</v>
      </c>
      <c r="E37" s="63">
        <f>D37*$C$51</f>
        <v>626418</v>
      </c>
      <c r="F37" s="65">
        <v>206</v>
      </c>
      <c r="G37" s="63">
        <f>F37*$D$51</f>
        <v>634274</v>
      </c>
      <c r="H37" s="64">
        <v>274</v>
      </c>
      <c r="I37" s="63">
        <f>H37*$E$51</f>
        <v>953794</v>
      </c>
      <c r="J37" s="65">
        <v>1.5</v>
      </c>
      <c r="K37" s="63">
        <f>J37*$B$51</f>
        <v>3412.5</v>
      </c>
      <c r="L37" s="91">
        <v>2167621</v>
      </c>
      <c r="M37" s="63">
        <f>SUM(K37+I37+G37+E37+C37)</f>
        <v>2642186</v>
      </c>
      <c r="N37" s="66">
        <f>(M37-L37)/L37</f>
        <v>0.21893356818373691</v>
      </c>
      <c r="O37" s="87">
        <f t="shared" si="6"/>
        <v>2427735.52</v>
      </c>
      <c r="P37" s="67">
        <f>IF(O37=FALSE,M37,O37)</f>
        <v>2427735.52</v>
      </c>
      <c r="Q37" s="68">
        <f>(P37-L37)/L37</f>
        <v>0.12000000000000001</v>
      </c>
    </row>
    <row r="38" spans="1:17" x14ac:dyDescent="0.25">
      <c r="A38" s="61" t="s">
        <v>16</v>
      </c>
      <c r="B38" s="62">
        <v>12</v>
      </c>
      <c r="C38" s="63">
        <f>B38*$B$51</f>
        <v>27300</v>
      </c>
      <c r="D38" s="64">
        <v>13.5</v>
      </c>
      <c r="E38" s="63">
        <f>D38*$C$51</f>
        <v>36139.5</v>
      </c>
      <c r="F38" s="65">
        <v>14</v>
      </c>
      <c r="G38" s="63">
        <f>F38*$D$51</f>
        <v>43106</v>
      </c>
      <c r="H38" s="64">
        <v>18.5</v>
      </c>
      <c r="I38" s="63">
        <f>H38*$E$51</f>
        <v>64398.5</v>
      </c>
      <c r="J38" s="65"/>
      <c r="K38" s="63"/>
      <c r="L38" s="91">
        <v>158879</v>
      </c>
      <c r="M38" s="63">
        <f>SUM(K38+I38+G38+E38+C38)</f>
        <v>170944</v>
      </c>
      <c r="N38" s="66">
        <f>(M38-L38)/L38</f>
        <v>7.5938292662969933E-2</v>
      </c>
      <c r="O38" s="87">
        <f t="shared" si="6"/>
        <v>170944</v>
      </c>
      <c r="P38" s="67">
        <f>IF(O38=FALSE,M38,O38)</f>
        <v>170944</v>
      </c>
      <c r="Q38" s="68">
        <f>(P38-L38)/L38</f>
        <v>7.5938292662969933E-2</v>
      </c>
    </row>
    <row r="39" spans="1:17" x14ac:dyDescent="0.25">
      <c r="A39" s="61" t="s">
        <v>17</v>
      </c>
      <c r="B39" s="62">
        <v>30</v>
      </c>
      <c r="C39" s="63">
        <f>B39*$B$51</f>
        <v>68250</v>
      </c>
      <c r="D39" s="64">
        <v>23</v>
      </c>
      <c r="E39" s="63">
        <f>D39*$C$51</f>
        <v>61571</v>
      </c>
      <c r="F39" s="65">
        <v>25.5</v>
      </c>
      <c r="G39" s="63">
        <f>F39*$D$51</f>
        <v>78514.5</v>
      </c>
      <c r="H39" s="64">
        <v>26</v>
      </c>
      <c r="I39" s="63">
        <f>H39*$E$51</f>
        <v>90506</v>
      </c>
      <c r="J39" s="65"/>
      <c r="K39" s="63"/>
      <c r="L39" s="91">
        <v>126850</v>
      </c>
      <c r="M39" s="63">
        <f>SUM(K39+I39+G39+E39+C39)</f>
        <v>298841.5</v>
      </c>
      <c r="N39" s="66">
        <f>(M39-L39)/L39</f>
        <v>1.3558651951123375</v>
      </c>
      <c r="O39" s="87">
        <f t="shared" si="6"/>
        <v>142072</v>
      </c>
      <c r="P39" s="67">
        <f>IF(O39=FALSE,M39,O39)</f>
        <v>142072</v>
      </c>
      <c r="Q39" s="68">
        <f>(P39-L39)/L39</f>
        <v>0.12</v>
      </c>
    </row>
    <row r="40" spans="1:17" x14ac:dyDescent="0.25">
      <c r="A40" s="61" t="s">
        <v>19</v>
      </c>
      <c r="B40" s="62">
        <v>147.5</v>
      </c>
      <c r="C40" s="63">
        <f>B40*$B$51</f>
        <v>335562.5</v>
      </c>
      <c r="D40" s="64">
        <v>125.5</v>
      </c>
      <c r="E40" s="63">
        <f>D40*$C$51</f>
        <v>335963.5</v>
      </c>
      <c r="F40" s="65">
        <v>187.5</v>
      </c>
      <c r="G40" s="63">
        <f>F40*$D$51</f>
        <v>577312.5</v>
      </c>
      <c r="H40" s="64">
        <v>313</v>
      </c>
      <c r="I40" s="63">
        <f>H40*$E$51</f>
        <v>1089553</v>
      </c>
      <c r="J40" s="65">
        <v>6.5</v>
      </c>
      <c r="K40" s="63">
        <f>J40*$B$51</f>
        <v>14787.5</v>
      </c>
      <c r="L40" s="91">
        <v>2410209</v>
      </c>
      <c r="M40" s="63">
        <f>SUM(K40+I40+G40+E40+C40)</f>
        <v>2353179</v>
      </c>
      <c r="N40" s="66">
        <f>(M40-L40)/L40</f>
        <v>-2.3661848412316111E-2</v>
      </c>
      <c r="O40" s="87">
        <f t="shared" si="6"/>
        <v>2386106.91</v>
      </c>
      <c r="P40" s="67">
        <f>IF(O40=FALSE,M40,O40)</f>
        <v>2386106.91</v>
      </c>
      <c r="Q40" s="68">
        <f>(P40-L40)/L40</f>
        <v>-9.9999999999999378E-3</v>
      </c>
    </row>
    <row r="41" spans="1:17" x14ac:dyDescent="0.25">
      <c r="A41" s="61" t="s">
        <v>20</v>
      </c>
      <c r="B41" s="62">
        <v>48</v>
      </c>
      <c r="C41" s="63">
        <f>B41*$B$51</f>
        <v>109200</v>
      </c>
      <c r="D41" s="64">
        <v>135</v>
      </c>
      <c r="E41" s="63">
        <f>D41*$C$51</f>
        <v>361395</v>
      </c>
      <c r="F41" s="65">
        <v>126.5</v>
      </c>
      <c r="G41" s="63">
        <f>F41*$D$51</f>
        <v>389493.5</v>
      </c>
      <c r="H41" s="64">
        <v>250</v>
      </c>
      <c r="I41" s="63">
        <f>H41*$E$51</f>
        <v>870250</v>
      </c>
      <c r="J41" s="65">
        <v>0.5</v>
      </c>
      <c r="K41" s="63">
        <f>J41*$B$51</f>
        <v>1137.5</v>
      </c>
      <c r="L41" s="91">
        <v>1460713</v>
      </c>
      <c r="M41" s="63">
        <f>SUM(K41+I41+G41+E41+C41)</f>
        <v>1731476</v>
      </c>
      <c r="N41" s="66">
        <f>(M41-L41)/L41</f>
        <v>0.18536358613909781</v>
      </c>
      <c r="O41" s="87">
        <f t="shared" si="6"/>
        <v>1635998.56</v>
      </c>
      <c r="P41" s="67">
        <f>IF(O41=FALSE,M41,O41)</f>
        <v>1635998.56</v>
      </c>
      <c r="Q41" s="68">
        <f>(P41-L41)/L41</f>
        <v>0.12000000000000004</v>
      </c>
    </row>
    <row r="42" spans="1:17" x14ac:dyDescent="0.25">
      <c r="A42" s="69"/>
      <c r="B42" s="65"/>
      <c r="C42" s="63"/>
      <c r="D42" s="62"/>
      <c r="E42" s="63"/>
      <c r="F42" s="65"/>
      <c r="G42" s="63"/>
      <c r="H42" s="62"/>
      <c r="I42" s="63"/>
      <c r="J42" s="65"/>
      <c r="K42" s="63"/>
      <c r="L42" s="92"/>
      <c r="M42" s="63"/>
      <c r="N42" s="66"/>
      <c r="O42" s="87">
        <f t="shared" si="6"/>
        <v>0</v>
      </c>
      <c r="P42" s="67"/>
      <c r="Q42" s="68"/>
    </row>
    <row r="43" spans="1:17" x14ac:dyDescent="0.25">
      <c r="A43" s="70" t="s">
        <v>47</v>
      </c>
      <c r="B43" s="65"/>
      <c r="C43" s="63"/>
      <c r="D43" s="62"/>
      <c r="E43" s="63"/>
      <c r="F43" s="65"/>
      <c r="G43" s="63"/>
      <c r="H43" s="62"/>
      <c r="I43" s="63"/>
      <c r="J43" s="65"/>
      <c r="K43" s="63"/>
      <c r="L43" s="92"/>
      <c r="M43" s="63"/>
      <c r="N43" s="66"/>
      <c r="O43" s="87">
        <f t="shared" si="6"/>
        <v>0</v>
      </c>
      <c r="P43" s="67"/>
      <c r="Q43" s="68"/>
    </row>
    <row r="44" spans="1:17" x14ac:dyDescent="0.25">
      <c r="A44" s="61" t="s">
        <v>37</v>
      </c>
      <c r="B44" s="62">
        <v>32.5</v>
      </c>
      <c r="C44" s="63">
        <f>B44*$B$51</f>
        <v>73937.5</v>
      </c>
      <c r="D44" s="64">
        <v>24</v>
      </c>
      <c r="E44" s="63">
        <f t="shared" ref="E44:E46" si="18">D44*$C$51</f>
        <v>64248</v>
      </c>
      <c r="F44" s="65"/>
      <c r="G44" s="63"/>
      <c r="H44" s="62"/>
      <c r="I44" s="63"/>
      <c r="J44" s="65"/>
      <c r="K44" s="63"/>
      <c r="L44" s="91">
        <v>151048</v>
      </c>
      <c r="M44" s="63">
        <f>SUM(K44+I44+G44+E44+C44)</f>
        <v>138185.5</v>
      </c>
      <c r="N44" s="66">
        <f>(M44-L44)/L44</f>
        <v>-8.5155050050315137E-2</v>
      </c>
      <c r="O44" s="87">
        <f t="shared" si="6"/>
        <v>149537.51999999999</v>
      </c>
      <c r="P44" s="67">
        <f>IF(O44=FALSE,M44,O44)</f>
        <v>149537.51999999999</v>
      </c>
      <c r="Q44" s="68">
        <f>(P44-L44)/L44</f>
        <v>-1.000000000000007E-2</v>
      </c>
    </row>
    <row r="45" spans="1:17" x14ac:dyDescent="0.25">
      <c r="A45" s="61" t="s">
        <v>35</v>
      </c>
      <c r="B45" s="62">
        <v>490</v>
      </c>
      <c r="C45" s="63">
        <f>B45*$B$51</f>
        <v>1114750</v>
      </c>
      <c r="D45" s="64"/>
      <c r="E45" s="63">
        <f t="shared" si="18"/>
        <v>0</v>
      </c>
      <c r="F45" s="65"/>
      <c r="G45" s="63"/>
      <c r="H45" s="62"/>
      <c r="I45" s="63"/>
      <c r="J45" s="65"/>
      <c r="K45" s="63"/>
      <c r="L45" s="91">
        <v>717977</v>
      </c>
      <c r="M45" s="63">
        <f>SUM(K45+I45+G45+E45+C45)</f>
        <v>1114750</v>
      </c>
      <c r="N45" s="66">
        <f>(M45-L45)/L45</f>
        <v>0.55262633761248614</v>
      </c>
      <c r="O45" s="87">
        <f t="shared" si="6"/>
        <v>804134.24000000011</v>
      </c>
      <c r="P45" s="67">
        <f>IF(O45=FALSE,M45,O45)</f>
        <v>804134.24000000011</v>
      </c>
      <c r="Q45" s="68">
        <f>(P45-L45)/L45</f>
        <v>0.12000000000000015</v>
      </c>
    </row>
    <row r="46" spans="1:17" x14ac:dyDescent="0.25">
      <c r="A46" s="61" t="s">
        <v>36</v>
      </c>
      <c r="B46" s="62">
        <v>110</v>
      </c>
      <c r="C46" s="63">
        <f>B46*$B$51</f>
        <v>250250</v>
      </c>
      <c r="D46" s="73">
        <v>93.5</v>
      </c>
      <c r="E46" s="74">
        <f t="shared" si="18"/>
        <v>250299.5</v>
      </c>
      <c r="F46" s="75"/>
      <c r="G46" s="67"/>
      <c r="H46" s="73">
        <v>2</v>
      </c>
      <c r="I46" s="67">
        <f t="shared" ref="I46" si="19">H46*$E$51</f>
        <v>6962</v>
      </c>
      <c r="J46" s="65"/>
      <c r="K46" s="63"/>
      <c r="L46" s="91">
        <v>542250</v>
      </c>
      <c r="M46" s="63">
        <f>SUM(K46+I46+G46+E46+C46)</f>
        <v>507511.5</v>
      </c>
      <c r="N46" s="66">
        <f>(M46-L46)/L46</f>
        <v>-6.4063623789764865E-2</v>
      </c>
      <c r="O46" s="87">
        <f t="shared" si="6"/>
        <v>536827.5</v>
      </c>
      <c r="P46" s="67">
        <f>IF(O46=FALSE,M46,O46)</f>
        <v>536827.5</v>
      </c>
      <c r="Q46" s="68">
        <f>(P46-L46)/L46</f>
        <v>-0.01</v>
      </c>
    </row>
    <row r="47" spans="1:17" ht="18.75" x14ac:dyDescent="0.3">
      <c r="A47" s="76" t="s">
        <v>48</v>
      </c>
      <c r="B47" s="77">
        <f>SUM(B4:B46)</f>
        <v>17289.5</v>
      </c>
      <c r="C47" s="78">
        <f>SUM(C4:C46)</f>
        <v>39333612.5</v>
      </c>
      <c r="D47" s="77">
        <f>SUM(D4:D46)</f>
        <v>19070</v>
      </c>
      <c r="E47" s="78">
        <f>SUM(E4:E46)</f>
        <v>51050390</v>
      </c>
      <c r="F47" s="79">
        <f>SUM(F4:F41)</f>
        <v>8126.5</v>
      </c>
      <c r="G47" s="78">
        <f>SUM(G4:G41)</f>
        <v>25021493.5</v>
      </c>
      <c r="H47" s="77">
        <f>SUM(H4:H41)</f>
        <v>15635.5</v>
      </c>
      <c r="I47" s="78">
        <f>SUM(I4:I46)</f>
        <v>54427175.5</v>
      </c>
      <c r="J47" s="79">
        <f>SUM(J4:J41)</f>
        <v>160</v>
      </c>
      <c r="K47" s="78">
        <f>SUM(K4:K46)</f>
        <v>352625</v>
      </c>
      <c r="L47" s="93">
        <f>SUM(L4:L46)</f>
        <v>149735303</v>
      </c>
      <c r="M47" s="78">
        <f>SUM(K47+I47+G47+E47+C47)</f>
        <v>170185296.5</v>
      </c>
      <c r="N47" s="80">
        <f>(M47-L47)/L47</f>
        <v>0.136574295375086</v>
      </c>
      <c r="O47" s="88">
        <f>SUM(O4:O46)</f>
        <v>163054189.75000006</v>
      </c>
      <c r="P47" s="81">
        <f>SUM(P4:P46)</f>
        <v>163054189.75000006</v>
      </c>
      <c r="Q47" s="82">
        <f>(P47-L47)/L47</f>
        <v>8.8949542847621313E-2</v>
      </c>
    </row>
    <row r="48" spans="1:17" x14ac:dyDescent="0.25">
      <c r="A48" s="11"/>
      <c r="M48" s="13"/>
    </row>
    <row r="49" spans="1:16" x14ac:dyDescent="0.25">
      <c r="L49" s="15"/>
      <c r="P49" s="8">
        <v>177303919.68000001</v>
      </c>
    </row>
    <row r="50" spans="1:16" x14ac:dyDescent="0.25">
      <c r="A50" s="11" t="s">
        <v>55</v>
      </c>
      <c r="B50" s="9" t="s">
        <v>49</v>
      </c>
      <c r="C50" s="9" t="s">
        <v>50</v>
      </c>
      <c r="D50" s="9" t="s">
        <v>51</v>
      </c>
      <c r="E50" s="9" t="s">
        <v>52</v>
      </c>
      <c r="K50" s="11"/>
      <c r="N50" s="12"/>
      <c r="O50" s="9"/>
      <c r="P50" s="10" t="s">
        <v>59</v>
      </c>
    </row>
    <row r="51" spans="1:16" x14ac:dyDescent="0.25">
      <c r="A51" s="9">
        <v>402</v>
      </c>
      <c r="B51" s="12">
        <v>2275</v>
      </c>
      <c r="C51" s="12">
        <f>B51+A51</f>
        <v>2677</v>
      </c>
      <c r="D51" s="12">
        <f>C51+A51</f>
        <v>3079</v>
      </c>
      <c r="E51" s="12">
        <f>D51+A51</f>
        <v>3481</v>
      </c>
      <c r="L51" s="12"/>
      <c r="M51" s="12"/>
      <c r="N51" s="12"/>
    </row>
    <row r="52" spans="1:16" x14ac:dyDescent="0.25">
      <c r="N52" s="12"/>
      <c r="O52" s="9"/>
    </row>
    <row r="53" spans="1:16" x14ac:dyDescent="0.25">
      <c r="N53" s="12"/>
      <c r="O53" s="9"/>
    </row>
    <row r="54" spans="1:16" x14ac:dyDescent="0.25">
      <c r="N54" s="12"/>
      <c r="O54" s="9"/>
    </row>
    <row r="55" spans="1:16" x14ac:dyDescent="0.25">
      <c r="A55" s="9" t="s">
        <v>56</v>
      </c>
      <c r="B55" s="12">
        <f>P49-P47</f>
        <v>14249729.929999948</v>
      </c>
      <c r="L55" s="12"/>
      <c r="N55" s="12"/>
      <c r="O55" s="9"/>
    </row>
    <row r="56" spans="1:16" x14ac:dyDescent="0.25">
      <c r="B56" s="14"/>
      <c r="L56" s="14"/>
      <c r="N56" s="12"/>
      <c r="O56" s="9"/>
    </row>
    <row r="57" spans="1:16" x14ac:dyDescent="0.25">
      <c r="N57" s="12"/>
      <c r="O57" s="9"/>
    </row>
    <row r="58" spans="1:16" x14ac:dyDescent="0.25">
      <c r="A58" s="9" t="s">
        <v>53</v>
      </c>
      <c r="N58" s="12"/>
      <c r="O58" s="9"/>
    </row>
    <row r="59" spans="1:16" x14ac:dyDescent="0.25">
      <c r="B59" s="9" t="s">
        <v>49</v>
      </c>
      <c r="C59" s="9" t="s">
        <v>50</v>
      </c>
      <c r="D59" s="9" t="s">
        <v>51</v>
      </c>
      <c r="E59" s="9" t="s">
        <v>52</v>
      </c>
      <c r="N59" s="12"/>
      <c r="O59" s="9"/>
    </row>
    <row r="60" spans="1:16" x14ac:dyDescent="0.25">
      <c r="A60" s="9">
        <v>399</v>
      </c>
      <c r="B60" s="12">
        <v>2250</v>
      </c>
      <c r="C60" s="12">
        <v>2649</v>
      </c>
      <c r="D60" s="12">
        <v>3048</v>
      </c>
      <c r="E60" s="12">
        <v>3447</v>
      </c>
      <c r="L60" s="12"/>
      <c r="M60" s="12"/>
      <c r="N60" s="12"/>
    </row>
    <row r="61" spans="1:16" x14ac:dyDescent="0.25">
      <c r="N61" s="12"/>
      <c r="O61" s="9"/>
    </row>
  </sheetData>
  <pageMargins left="0.25" right="0.25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16F6-27AD-4395-AE80-78EA247F5892}">
  <dimension ref="A1:Q61"/>
  <sheetViews>
    <sheetView zoomScale="80" zoomScaleNormal="80" zoomScaleSheetLayoutView="70" workbookViewId="0">
      <selection activeCell="G17" sqref="G17"/>
    </sheetView>
  </sheetViews>
  <sheetFormatPr defaultRowHeight="15" x14ac:dyDescent="0.25"/>
  <cols>
    <col min="1" max="1" width="39.42578125" style="9" customWidth="1"/>
    <col min="2" max="2" width="14.7109375" style="9" customWidth="1"/>
    <col min="3" max="3" width="15.7109375" style="9" customWidth="1"/>
    <col min="4" max="4" width="11.5703125" style="9" customWidth="1"/>
    <col min="5" max="5" width="15.5703125" style="9" customWidth="1"/>
    <col min="6" max="6" width="9.140625" style="9" customWidth="1"/>
    <col min="7" max="7" width="15.7109375" style="9" customWidth="1"/>
    <col min="8" max="8" width="9.140625" style="9" customWidth="1"/>
    <col min="9" max="9" width="15.7109375" style="9" customWidth="1"/>
    <col min="10" max="10" width="16" style="9" customWidth="1"/>
    <col min="11" max="11" width="16.42578125" style="9" customWidth="1"/>
    <col min="12" max="13" width="21" style="9" customWidth="1"/>
    <col min="14" max="14" width="12.140625" style="9" customWidth="1"/>
    <col min="15" max="15" width="20.85546875" style="12" customWidth="1"/>
    <col min="16" max="16" width="21" style="10" hidden="1" customWidth="1"/>
    <col min="17" max="17" width="13.5703125" style="9" customWidth="1"/>
    <col min="18" max="16384" width="9.140625" style="9"/>
  </cols>
  <sheetData>
    <row r="1" spans="1:17" x14ac:dyDescent="0.25">
      <c r="A1" s="51" t="s">
        <v>72</v>
      </c>
    </row>
    <row r="2" spans="1:17" ht="60" x14ac:dyDescent="0.25">
      <c r="A2" s="52"/>
      <c r="B2" s="53" t="s">
        <v>39</v>
      </c>
      <c r="C2" s="53"/>
      <c r="D2" s="53" t="s">
        <v>40</v>
      </c>
      <c r="E2" s="53"/>
      <c r="F2" s="53" t="s">
        <v>41</v>
      </c>
      <c r="G2" s="53"/>
      <c r="H2" s="53" t="s">
        <v>42</v>
      </c>
      <c r="I2" s="53"/>
      <c r="J2" s="53" t="s">
        <v>43</v>
      </c>
      <c r="K2" s="53"/>
      <c r="L2" s="89" t="s">
        <v>89</v>
      </c>
      <c r="M2" s="54" t="s">
        <v>69</v>
      </c>
      <c r="N2" s="54" t="s">
        <v>90</v>
      </c>
      <c r="O2" s="85" t="s">
        <v>70</v>
      </c>
      <c r="P2" s="55" t="str">
        <f>"FY 2020-21 
with "&amp;O2</f>
        <v>FY 2020-21 
with Guardrail Allocation
(-8%, 15%)</v>
      </c>
      <c r="Q2" s="54" t="s">
        <v>90</v>
      </c>
    </row>
    <row r="3" spans="1:17" x14ac:dyDescent="0.25">
      <c r="A3" s="56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90"/>
      <c r="M3" s="57"/>
      <c r="N3" s="58"/>
      <c r="O3" s="86"/>
      <c r="P3" s="59"/>
      <c r="Q3" s="60"/>
    </row>
    <row r="4" spans="1:17" x14ac:dyDescent="0.25">
      <c r="A4" s="61" t="s">
        <v>22</v>
      </c>
      <c r="B4" s="62">
        <v>207.5</v>
      </c>
      <c r="C4" s="63">
        <f>B4*$B$51</f>
        <v>435750</v>
      </c>
      <c r="D4" s="62">
        <v>174.5</v>
      </c>
      <c r="E4" s="63">
        <f t="shared" ref="E4:E15" si="0">D4*$C$51</f>
        <v>423162.5</v>
      </c>
      <c r="F4" s="64">
        <v>125.5</v>
      </c>
      <c r="G4" s="63">
        <f t="shared" ref="G4:G15" si="1">F4*$D$51</f>
        <v>345125</v>
      </c>
      <c r="H4" s="64">
        <v>263.5</v>
      </c>
      <c r="I4" s="63">
        <f t="shared" ref="I4:I15" si="2">H4*$E$51</f>
        <v>810262.5</v>
      </c>
      <c r="J4" s="65">
        <v>7.5</v>
      </c>
      <c r="K4" s="63">
        <f t="shared" ref="K4:K15" si="3">J4*$B$51</f>
        <v>15750</v>
      </c>
      <c r="L4" s="91">
        <v>2259818</v>
      </c>
      <c r="M4" s="63">
        <f t="shared" ref="M4:M15" si="4">SUM(K4+I4+G4+E4+C4)</f>
        <v>2030050</v>
      </c>
      <c r="N4" s="66">
        <f t="shared" ref="N4:N15" si="5">(M4-L4)/L4</f>
        <v>-0.10167544465970269</v>
      </c>
      <c r="O4" s="87">
        <f t="shared" ref="O4:O15" si="6">IF(N4&lt;-0.05,L4*0.95,IF(N4&gt;0.1,L4*1.1,M4))</f>
        <v>2146827.1</v>
      </c>
      <c r="P4" s="67">
        <f t="shared" ref="P4:P15" si="7">IF(O4=FALSE,M4,O4)</f>
        <v>2146827.1</v>
      </c>
      <c r="Q4" s="68">
        <f t="shared" ref="Q4:Q15" si="8">(P4-L4)/L4</f>
        <v>-4.9999999999999961E-2</v>
      </c>
    </row>
    <row r="5" spans="1:17" x14ac:dyDescent="0.25">
      <c r="A5" s="61" t="s">
        <v>23</v>
      </c>
      <c r="B5" s="62">
        <v>588</v>
      </c>
      <c r="C5" s="63">
        <f t="shared" ref="C5:C30" si="9">B5*$B$51</f>
        <v>1234800</v>
      </c>
      <c r="D5" s="62">
        <v>759.5</v>
      </c>
      <c r="E5" s="63">
        <f t="shared" si="0"/>
        <v>1841787.5</v>
      </c>
      <c r="F5" s="64">
        <v>574</v>
      </c>
      <c r="G5" s="63">
        <f t="shared" si="1"/>
        <v>1578500</v>
      </c>
      <c r="H5" s="64">
        <v>1157</v>
      </c>
      <c r="I5" s="63">
        <f t="shared" si="2"/>
        <v>3557775</v>
      </c>
      <c r="J5" s="65">
        <v>23</v>
      </c>
      <c r="K5" s="63">
        <f t="shared" si="3"/>
        <v>48300</v>
      </c>
      <c r="L5" s="91">
        <v>8358127</v>
      </c>
      <c r="M5" s="63">
        <f t="shared" si="4"/>
        <v>8261162.5</v>
      </c>
      <c r="N5" s="66">
        <f t="shared" si="5"/>
        <v>-1.1601223575569024E-2</v>
      </c>
      <c r="O5" s="87">
        <f t="shared" si="6"/>
        <v>8261162.5</v>
      </c>
      <c r="P5" s="67">
        <f t="shared" si="7"/>
        <v>8261162.5</v>
      </c>
      <c r="Q5" s="68">
        <f t="shared" si="8"/>
        <v>-1.1601223575569024E-2</v>
      </c>
    </row>
    <row r="6" spans="1:17" x14ac:dyDescent="0.25">
      <c r="A6" s="61" t="s">
        <v>25</v>
      </c>
      <c r="B6" s="62">
        <v>98.5</v>
      </c>
      <c r="C6" s="63">
        <f t="shared" si="9"/>
        <v>206850</v>
      </c>
      <c r="D6" s="62">
        <v>129.5</v>
      </c>
      <c r="E6" s="63">
        <f t="shared" si="0"/>
        <v>314037.5</v>
      </c>
      <c r="F6" s="64">
        <v>132.5</v>
      </c>
      <c r="G6" s="63">
        <f t="shared" si="1"/>
        <v>364375</v>
      </c>
      <c r="H6" s="64">
        <v>238.5</v>
      </c>
      <c r="I6" s="63">
        <f t="shared" si="2"/>
        <v>733387.5</v>
      </c>
      <c r="J6" s="65">
        <v>5.5</v>
      </c>
      <c r="K6" s="63">
        <f t="shared" si="3"/>
        <v>11550</v>
      </c>
      <c r="L6" s="91">
        <v>1618343</v>
      </c>
      <c r="M6" s="63">
        <f t="shared" si="4"/>
        <v>1630200</v>
      </c>
      <c r="N6" s="66">
        <f t="shared" si="5"/>
        <v>7.326629768843811E-3</v>
      </c>
      <c r="O6" s="87">
        <f t="shared" si="6"/>
        <v>1630200</v>
      </c>
      <c r="P6" s="67">
        <f t="shared" si="7"/>
        <v>1630200</v>
      </c>
      <c r="Q6" s="68">
        <f t="shared" si="8"/>
        <v>7.326629768843811E-3</v>
      </c>
    </row>
    <row r="7" spans="1:17" x14ac:dyDescent="0.25">
      <c r="A7" s="61" t="s">
        <v>26</v>
      </c>
      <c r="B7" s="62">
        <v>1176.5</v>
      </c>
      <c r="C7" s="63">
        <f t="shared" si="9"/>
        <v>2470650</v>
      </c>
      <c r="D7" s="62">
        <v>1033</v>
      </c>
      <c r="E7" s="63">
        <f t="shared" si="0"/>
        <v>2505025</v>
      </c>
      <c r="F7" s="64">
        <v>1241.5</v>
      </c>
      <c r="G7" s="63">
        <f t="shared" si="1"/>
        <v>3414125</v>
      </c>
      <c r="H7" s="64">
        <v>1680.5</v>
      </c>
      <c r="I7" s="63">
        <f t="shared" si="2"/>
        <v>5167537.5</v>
      </c>
      <c r="J7" s="65">
        <v>15</v>
      </c>
      <c r="K7" s="63">
        <f t="shared" si="3"/>
        <v>31500</v>
      </c>
      <c r="L7" s="91">
        <v>13125938</v>
      </c>
      <c r="M7" s="63">
        <f t="shared" si="4"/>
        <v>13588837.5</v>
      </c>
      <c r="N7" s="66">
        <f t="shared" si="5"/>
        <v>3.5266012988938389E-2</v>
      </c>
      <c r="O7" s="87">
        <f t="shared" si="6"/>
        <v>13588837.5</v>
      </c>
      <c r="P7" s="67">
        <f t="shared" si="7"/>
        <v>13588837.5</v>
      </c>
      <c r="Q7" s="68">
        <f t="shared" si="8"/>
        <v>3.5266012988938389E-2</v>
      </c>
    </row>
    <row r="8" spans="1:17" x14ac:dyDescent="0.25">
      <c r="A8" s="61" t="s">
        <v>27</v>
      </c>
      <c r="B8" s="62">
        <v>298.5</v>
      </c>
      <c r="C8" s="63">
        <f t="shared" si="9"/>
        <v>626850</v>
      </c>
      <c r="D8" s="62">
        <v>336.5</v>
      </c>
      <c r="E8" s="63">
        <f t="shared" si="0"/>
        <v>816012.5</v>
      </c>
      <c r="F8" s="64">
        <v>356</v>
      </c>
      <c r="G8" s="63">
        <f t="shared" si="1"/>
        <v>979000</v>
      </c>
      <c r="H8" s="64">
        <v>687</v>
      </c>
      <c r="I8" s="63">
        <f t="shared" si="2"/>
        <v>2112525</v>
      </c>
      <c r="J8" s="65">
        <v>13</v>
      </c>
      <c r="K8" s="63">
        <f t="shared" si="3"/>
        <v>27300</v>
      </c>
      <c r="L8" s="91">
        <v>4579037</v>
      </c>
      <c r="M8" s="63">
        <f t="shared" si="4"/>
        <v>4561687.5</v>
      </c>
      <c r="N8" s="66">
        <f t="shared" si="5"/>
        <v>-3.7888970977958901E-3</v>
      </c>
      <c r="O8" s="87">
        <f t="shared" si="6"/>
        <v>4561687.5</v>
      </c>
      <c r="P8" s="67">
        <f t="shared" si="7"/>
        <v>4561687.5</v>
      </c>
      <c r="Q8" s="68">
        <f t="shared" si="8"/>
        <v>-3.7888970977958901E-3</v>
      </c>
    </row>
    <row r="9" spans="1:17" x14ac:dyDescent="0.25">
      <c r="A9" s="61" t="s">
        <v>28</v>
      </c>
      <c r="B9" s="62">
        <v>64.5</v>
      </c>
      <c r="C9" s="63">
        <f t="shared" si="9"/>
        <v>135450</v>
      </c>
      <c r="D9" s="62">
        <v>97.5</v>
      </c>
      <c r="E9" s="63">
        <f t="shared" si="0"/>
        <v>236437.5</v>
      </c>
      <c r="F9" s="64">
        <v>110.5</v>
      </c>
      <c r="G9" s="63">
        <f t="shared" si="1"/>
        <v>303875</v>
      </c>
      <c r="H9" s="64">
        <v>212</v>
      </c>
      <c r="I9" s="63">
        <f t="shared" si="2"/>
        <v>651900</v>
      </c>
      <c r="J9" s="65">
        <v>2</v>
      </c>
      <c r="K9" s="63">
        <f t="shared" si="3"/>
        <v>4200</v>
      </c>
      <c r="L9" s="91">
        <v>1497559</v>
      </c>
      <c r="M9" s="63">
        <f t="shared" si="4"/>
        <v>1331862.5</v>
      </c>
      <c r="N9" s="66">
        <f t="shared" si="5"/>
        <v>-0.11064438863510553</v>
      </c>
      <c r="O9" s="87">
        <f t="shared" si="6"/>
        <v>1422681.05</v>
      </c>
      <c r="P9" s="67">
        <f t="shared" si="7"/>
        <v>1422681.05</v>
      </c>
      <c r="Q9" s="68">
        <f t="shared" si="8"/>
        <v>-4.9999999999999968E-2</v>
      </c>
    </row>
    <row r="10" spans="1:17" x14ac:dyDescent="0.25">
      <c r="A10" s="61" t="s">
        <v>29</v>
      </c>
      <c r="B10" s="62">
        <v>1454</v>
      </c>
      <c r="C10" s="63">
        <f t="shared" si="9"/>
        <v>3053400</v>
      </c>
      <c r="D10" s="62">
        <v>1421</v>
      </c>
      <c r="E10" s="63">
        <f t="shared" si="0"/>
        <v>3445925</v>
      </c>
      <c r="F10" s="64">
        <v>1629.5</v>
      </c>
      <c r="G10" s="63">
        <f t="shared" si="1"/>
        <v>4481125</v>
      </c>
      <c r="H10" s="64">
        <v>3412.5</v>
      </c>
      <c r="I10" s="63">
        <f t="shared" si="2"/>
        <v>10493437.5</v>
      </c>
      <c r="J10" s="62">
        <v>24.5</v>
      </c>
      <c r="K10" s="63">
        <f t="shared" si="3"/>
        <v>51450</v>
      </c>
      <c r="L10" s="91">
        <v>20913437</v>
      </c>
      <c r="M10" s="63">
        <f t="shared" si="4"/>
        <v>21525337.5</v>
      </c>
      <c r="N10" s="66">
        <f t="shared" si="5"/>
        <v>2.9258724904949865E-2</v>
      </c>
      <c r="O10" s="87">
        <f t="shared" si="6"/>
        <v>21525337.5</v>
      </c>
      <c r="P10" s="67">
        <f t="shared" si="7"/>
        <v>21525337.5</v>
      </c>
      <c r="Q10" s="68">
        <f t="shared" si="8"/>
        <v>2.9258724904949865E-2</v>
      </c>
    </row>
    <row r="11" spans="1:17" x14ac:dyDescent="0.25">
      <c r="A11" s="61" t="s">
        <v>30</v>
      </c>
      <c r="B11" s="62">
        <v>583.5</v>
      </c>
      <c r="C11" s="63">
        <f t="shared" si="9"/>
        <v>1225350</v>
      </c>
      <c r="D11" s="62">
        <v>819</v>
      </c>
      <c r="E11" s="63">
        <f t="shared" si="0"/>
        <v>1986075</v>
      </c>
      <c r="F11" s="64">
        <v>898</v>
      </c>
      <c r="G11" s="63">
        <f t="shared" si="1"/>
        <v>2469500</v>
      </c>
      <c r="H11" s="64">
        <v>1986.5</v>
      </c>
      <c r="I11" s="63">
        <f t="shared" si="2"/>
        <v>6108487.5</v>
      </c>
      <c r="J11" s="65">
        <v>13.5</v>
      </c>
      <c r="K11" s="63">
        <f t="shared" si="3"/>
        <v>28350</v>
      </c>
      <c r="L11" s="91">
        <v>10546316</v>
      </c>
      <c r="M11" s="63">
        <f t="shared" si="4"/>
        <v>11817762.5</v>
      </c>
      <c r="N11" s="66">
        <f t="shared" si="5"/>
        <v>0.12055835421582285</v>
      </c>
      <c r="O11" s="87">
        <f t="shared" si="6"/>
        <v>11600947.600000001</v>
      </c>
      <c r="P11" s="67">
        <f t="shared" si="7"/>
        <v>11600947.600000001</v>
      </c>
      <c r="Q11" s="68">
        <f t="shared" si="8"/>
        <v>0.10000000000000014</v>
      </c>
    </row>
    <row r="12" spans="1:17" x14ac:dyDescent="0.25">
      <c r="A12" s="61" t="s">
        <v>31</v>
      </c>
      <c r="B12" s="62">
        <v>587.5</v>
      </c>
      <c r="C12" s="63">
        <f t="shared" si="9"/>
        <v>1233750</v>
      </c>
      <c r="D12" s="62">
        <v>620</v>
      </c>
      <c r="E12" s="63">
        <f t="shared" si="0"/>
        <v>1503500</v>
      </c>
      <c r="F12" s="64">
        <v>677</v>
      </c>
      <c r="G12" s="63">
        <f t="shared" si="1"/>
        <v>1861750</v>
      </c>
      <c r="H12" s="64">
        <v>1562</v>
      </c>
      <c r="I12" s="63">
        <f t="shared" si="2"/>
        <v>4803150</v>
      </c>
      <c r="J12" s="65">
        <v>29.5</v>
      </c>
      <c r="K12" s="63">
        <f t="shared" si="3"/>
        <v>61950</v>
      </c>
      <c r="L12" s="91">
        <v>8941951</v>
      </c>
      <c r="M12" s="63">
        <f t="shared" si="4"/>
        <v>9464100</v>
      </c>
      <c r="N12" s="66">
        <f t="shared" si="5"/>
        <v>5.8393185111392354E-2</v>
      </c>
      <c r="O12" s="87">
        <f t="shared" si="6"/>
        <v>9464100</v>
      </c>
      <c r="P12" s="67">
        <f t="shared" si="7"/>
        <v>9464100</v>
      </c>
      <c r="Q12" s="68">
        <f t="shared" si="8"/>
        <v>5.8393185111392354E-2</v>
      </c>
    </row>
    <row r="13" spans="1:17" x14ac:dyDescent="0.25">
      <c r="A13" s="61" t="s">
        <v>32</v>
      </c>
      <c r="B13" s="62">
        <v>613.5</v>
      </c>
      <c r="C13" s="63">
        <f t="shared" si="9"/>
        <v>1288350</v>
      </c>
      <c r="D13" s="62">
        <v>729.5</v>
      </c>
      <c r="E13" s="63">
        <f t="shared" si="0"/>
        <v>1769037.5</v>
      </c>
      <c r="F13" s="64">
        <v>1063.5</v>
      </c>
      <c r="G13" s="63">
        <f t="shared" si="1"/>
        <v>2924625</v>
      </c>
      <c r="H13" s="64">
        <v>2048.5</v>
      </c>
      <c r="I13" s="63">
        <f t="shared" si="2"/>
        <v>6299137.5</v>
      </c>
      <c r="J13" s="65">
        <v>9.5</v>
      </c>
      <c r="K13" s="63">
        <f t="shared" si="3"/>
        <v>19950</v>
      </c>
      <c r="L13" s="91">
        <v>11286802</v>
      </c>
      <c r="M13" s="63">
        <f t="shared" si="4"/>
        <v>12301100</v>
      </c>
      <c r="N13" s="66">
        <f t="shared" si="5"/>
        <v>8.9865845081715801E-2</v>
      </c>
      <c r="O13" s="87">
        <f t="shared" si="6"/>
        <v>12301100</v>
      </c>
      <c r="P13" s="67">
        <f t="shared" si="7"/>
        <v>12301100</v>
      </c>
      <c r="Q13" s="68">
        <f t="shared" si="8"/>
        <v>8.9865845081715801E-2</v>
      </c>
    </row>
    <row r="14" spans="1:17" x14ac:dyDescent="0.25">
      <c r="A14" s="61" t="s">
        <v>33</v>
      </c>
      <c r="B14" s="62">
        <v>647</v>
      </c>
      <c r="C14" s="63">
        <f t="shared" si="9"/>
        <v>1358700</v>
      </c>
      <c r="D14" s="62">
        <v>527</v>
      </c>
      <c r="E14" s="63">
        <f t="shared" si="0"/>
        <v>1277975</v>
      </c>
      <c r="F14" s="64">
        <v>635.5</v>
      </c>
      <c r="G14" s="63">
        <f t="shared" si="1"/>
        <v>1747625</v>
      </c>
      <c r="H14" s="64">
        <v>1298.5</v>
      </c>
      <c r="I14" s="63">
        <f t="shared" si="2"/>
        <v>3992887.5</v>
      </c>
      <c r="J14" s="65">
        <v>3</v>
      </c>
      <c r="K14" s="63">
        <f t="shared" si="3"/>
        <v>6300</v>
      </c>
      <c r="L14" s="91">
        <v>7280013</v>
      </c>
      <c r="M14" s="63">
        <f t="shared" si="4"/>
        <v>8383487.5</v>
      </c>
      <c r="N14" s="66">
        <f t="shared" si="5"/>
        <v>0.1515758969111731</v>
      </c>
      <c r="O14" s="87">
        <f t="shared" si="6"/>
        <v>8008014.3000000007</v>
      </c>
      <c r="P14" s="67">
        <f t="shared" si="7"/>
        <v>8008014.3000000007</v>
      </c>
      <c r="Q14" s="68">
        <f t="shared" si="8"/>
        <v>0.1000000000000001</v>
      </c>
    </row>
    <row r="15" spans="1:17" x14ac:dyDescent="0.25">
      <c r="A15" s="61" t="s">
        <v>34</v>
      </c>
      <c r="B15" s="62">
        <v>71.5</v>
      </c>
      <c r="C15" s="63">
        <f t="shared" si="9"/>
        <v>150150</v>
      </c>
      <c r="D15" s="62">
        <v>99</v>
      </c>
      <c r="E15" s="63">
        <f t="shared" si="0"/>
        <v>240075</v>
      </c>
      <c r="F15" s="64">
        <v>92.5</v>
      </c>
      <c r="G15" s="63">
        <f t="shared" si="1"/>
        <v>254375</v>
      </c>
      <c r="H15" s="64">
        <v>194.5</v>
      </c>
      <c r="I15" s="63">
        <f t="shared" si="2"/>
        <v>598087.5</v>
      </c>
      <c r="J15" s="65">
        <v>0.5</v>
      </c>
      <c r="K15" s="63">
        <f t="shared" si="3"/>
        <v>1050</v>
      </c>
      <c r="L15" s="91">
        <v>1310195</v>
      </c>
      <c r="M15" s="63">
        <f t="shared" si="4"/>
        <v>1243737.5</v>
      </c>
      <c r="N15" s="66">
        <f t="shared" si="5"/>
        <v>-5.0723365605883093E-2</v>
      </c>
      <c r="O15" s="87">
        <f t="shared" si="6"/>
        <v>1244685.25</v>
      </c>
      <c r="P15" s="67">
        <f t="shared" si="7"/>
        <v>1244685.25</v>
      </c>
      <c r="Q15" s="68">
        <f t="shared" si="8"/>
        <v>-0.05</v>
      </c>
    </row>
    <row r="16" spans="1:17" x14ac:dyDescent="0.25">
      <c r="A16" s="69"/>
      <c r="B16" s="65"/>
      <c r="C16" s="63"/>
      <c r="D16" s="62"/>
      <c r="E16" s="63"/>
      <c r="F16" s="65"/>
      <c r="G16" s="63"/>
      <c r="H16" s="65"/>
      <c r="I16" s="63"/>
      <c r="J16" s="65"/>
      <c r="K16" s="63"/>
      <c r="L16" s="92"/>
      <c r="M16" s="63"/>
      <c r="N16" s="66"/>
      <c r="O16" s="87"/>
      <c r="P16" s="67"/>
      <c r="Q16" s="68"/>
    </row>
    <row r="17" spans="1:17" x14ac:dyDescent="0.25">
      <c r="A17" s="70" t="s">
        <v>45</v>
      </c>
      <c r="B17" s="65"/>
      <c r="C17" s="63"/>
      <c r="D17" s="6"/>
      <c r="E17" s="63"/>
      <c r="F17" s="65"/>
      <c r="G17" s="63"/>
      <c r="H17" s="65"/>
      <c r="I17" s="63"/>
      <c r="J17" s="65"/>
      <c r="K17" s="63"/>
      <c r="L17" s="92"/>
      <c r="M17" s="63"/>
      <c r="N17" s="66"/>
      <c r="O17" s="87"/>
      <c r="P17" s="67"/>
      <c r="Q17" s="68"/>
    </row>
    <row r="18" spans="1:17" x14ac:dyDescent="0.25">
      <c r="A18" s="61" t="s">
        <v>2</v>
      </c>
      <c r="B18" s="62">
        <v>528.5</v>
      </c>
      <c r="C18" s="63">
        <f t="shared" si="9"/>
        <v>1109850</v>
      </c>
      <c r="D18" s="64">
        <v>603.5</v>
      </c>
      <c r="E18" s="63">
        <f t="shared" ref="E18:E30" si="10">D18*$C$51</f>
        <v>1463487.5</v>
      </c>
      <c r="F18" s="62">
        <v>3</v>
      </c>
      <c r="G18" s="71">
        <f t="shared" ref="G18" si="11">F18*$D$51</f>
        <v>8250</v>
      </c>
      <c r="H18" s="62"/>
      <c r="I18" s="63"/>
      <c r="J18" s="72"/>
      <c r="K18" s="63"/>
      <c r="L18" s="91">
        <v>3004148</v>
      </c>
      <c r="M18" s="63">
        <f t="shared" ref="M18:M30" si="12">SUM(K18+I18+G18+E18+C18)</f>
        <v>2581587.5</v>
      </c>
      <c r="N18" s="66">
        <f t="shared" ref="N18:N30" si="13">(M18-L18)/L18</f>
        <v>-0.14065901546794632</v>
      </c>
      <c r="O18" s="87">
        <f t="shared" ref="O18:O30" si="14">IF(N18&lt;-0.05,L18*0.95,IF(N18&gt;0.1,L18*1.1,M18))</f>
        <v>2853940.6</v>
      </c>
      <c r="P18" s="67">
        <f t="shared" ref="P18:P30" si="15">IF(O18=FALSE,M18,O18)</f>
        <v>2853940.6</v>
      </c>
      <c r="Q18" s="68">
        <f t="shared" ref="Q18:Q30" si="16">(P18-L18)/L18</f>
        <v>-4.9999999999999968E-2</v>
      </c>
    </row>
    <row r="19" spans="1:17" x14ac:dyDescent="0.25">
      <c r="A19" s="61" t="s">
        <v>3</v>
      </c>
      <c r="B19" s="62">
        <v>58.5</v>
      </c>
      <c r="C19" s="63">
        <f t="shared" si="9"/>
        <v>122850</v>
      </c>
      <c r="D19" s="64">
        <v>145</v>
      </c>
      <c r="E19" s="63">
        <f t="shared" si="10"/>
        <v>351625</v>
      </c>
      <c r="F19" s="62"/>
      <c r="G19" s="71"/>
      <c r="H19" s="62"/>
      <c r="I19" s="63"/>
      <c r="J19" s="72"/>
      <c r="K19" s="63"/>
      <c r="L19" s="91">
        <v>476475</v>
      </c>
      <c r="M19" s="63">
        <f t="shared" si="12"/>
        <v>474475</v>
      </c>
      <c r="N19" s="66">
        <f t="shared" si="13"/>
        <v>-4.197491998530878E-3</v>
      </c>
      <c r="O19" s="87">
        <f t="shared" si="14"/>
        <v>474475</v>
      </c>
      <c r="P19" s="67">
        <f t="shared" si="15"/>
        <v>474475</v>
      </c>
      <c r="Q19" s="68">
        <f t="shared" si="16"/>
        <v>-4.197491998530878E-3</v>
      </c>
    </row>
    <row r="20" spans="1:17" x14ac:dyDescent="0.25">
      <c r="A20" s="61" t="s">
        <v>4</v>
      </c>
      <c r="B20" s="62">
        <v>737</v>
      </c>
      <c r="C20" s="63">
        <f t="shared" si="9"/>
        <v>1547700</v>
      </c>
      <c r="D20" s="64">
        <v>824.5</v>
      </c>
      <c r="E20" s="63">
        <f t="shared" si="10"/>
        <v>1999412.5</v>
      </c>
      <c r="F20" s="62"/>
      <c r="G20" s="71"/>
      <c r="H20" s="62"/>
      <c r="I20" s="63"/>
      <c r="J20" s="72"/>
      <c r="K20" s="63"/>
      <c r="L20" s="91">
        <v>3851839</v>
      </c>
      <c r="M20" s="63">
        <f t="shared" si="12"/>
        <v>3547112.5</v>
      </c>
      <c r="N20" s="66">
        <f t="shared" si="13"/>
        <v>-7.9111951460068816E-2</v>
      </c>
      <c r="O20" s="87">
        <f t="shared" si="14"/>
        <v>3659247.05</v>
      </c>
      <c r="P20" s="67">
        <f t="shared" si="15"/>
        <v>3659247.05</v>
      </c>
      <c r="Q20" s="68">
        <f t="shared" si="16"/>
        <v>-5.0000000000000051E-2</v>
      </c>
    </row>
    <row r="21" spans="1:17" x14ac:dyDescent="0.25">
      <c r="A21" s="61" t="s">
        <v>5</v>
      </c>
      <c r="B21" s="62">
        <v>1169.5</v>
      </c>
      <c r="C21" s="63">
        <f t="shared" si="9"/>
        <v>2455950</v>
      </c>
      <c r="D21" s="64">
        <v>1049</v>
      </c>
      <c r="E21" s="63">
        <f t="shared" si="10"/>
        <v>2543825</v>
      </c>
      <c r="F21" s="62"/>
      <c r="G21" s="71"/>
      <c r="H21" s="62">
        <v>1.5</v>
      </c>
      <c r="I21" s="71">
        <f>H21*$E$51</f>
        <v>4612.5</v>
      </c>
      <c r="J21" s="72">
        <v>0.5</v>
      </c>
      <c r="K21" s="63"/>
      <c r="L21" s="91">
        <v>5340274</v>
      </c>
      <c r="M21" s="63">
        <f t="shared" si="12"/>
        <v>5004387.5</v>
      </c>
      <c r="N21" s="66">
        <f t="shared" si="13"/>
        <v>-6.2896866340566043E-2</v>
      </c>
      <c r="O21" s="87">
        <f t="shared" si="14"/>
        <v>5073260.3</v>
      </c>
      <c r="P21" s="67">
        <f t="shared" si="15"/>
        <v>5073260.3</v>
      </c>
      <c r="Q21" s="68">
        <f t="shared" si="16"/>
        <v>-5.0000000000000037E-2</v>
      </c>
    </row>
    <row r="22" spans="1:17" x14ac:dyDescent="0.25">
      <c r="A22" s="61" t="s">
        <v>6</v>
      </c>
      <c r="B22" s="62">
        <v>1706</v>
      </c>
      <c r="C22" s="63">
        <f t="shared" si="9"/>
        <v>3582600</v>
      </c>
      <c r="D22" s="64">
        <v>1904.5</v>
      </c>
      <c r="E22" s="63">
        <f t="shared" si="10"/>
        <v>4618412.5</v>
      </c>
      <c r="F22" s="62"/>
      <c r="G22" s="71"/>
      <c r="H22" s="62"/>
      <c r="I22" s="71"/>
      <c r="J22" s="72"/>
      <c r="K22" s="63"/>
      <c r="L22" s="91">
        <v>8960400</v>
      </c>
      <c r="M22" s="63">
        <f t="shared" si="12"/>
        <v>8201012.5</v>
      </c>
      <c r="N22" s="66">
        <f t="shared" si="13"/>
        <v>-8.4749285746172048E-2</v>
      </c>
      <c r="O22" s="87">
        <f t="shared" si="14"/>
        <v>8512380</v>
      </c>
      <c r="P22" s="67">
        <f t="shared" si="15"/>
        <v>8512380</v>
      </c>
      <c r="Q22" s="68">
        <f t="shared" si="16"/>
        <v>-0.05</v>
      </c>
    </row>
    <row r="23" spans="1:17" x14ac:dyDescent="0.25">
      <c r="A23" s="61" t="s">
        <v>7</v>
      </c>
      <c r="B23" s="62">
        <v>94</v>
      </c>
      <c r="C23" s="63">
        <f t="shared" si="9"/>
        <v>197400</v>
      </c>
      <c r="D23" s="64">
        <v>150.5</v>
      </c>
      <c r="E23" s="63">
        <f t="shared" si="10"/>
        <v>364962.5</v>
      </c>
      <c r="F23" s="62"/>
      <c r="G23" s="71"/>
      <c r="H23" s="62"/>
      <c r="I23" s="71"/>
      <c r="J23" s="72"/>
      <c r="K23" s="63"/>
      <c r="L23" s="91">
        <v>534912</v>
      </c>
      <c r="M23" s="63">
        <f t="shared" si="12"/>
        <v>562362.5</v>
      </c>
      <c r="N23" s="66">
        <f t="shared" si="13"/>
        <v>5.1317786850921275E-2</v>
      </c>
      <c r="O23" s="87">
        <f t="shared" si="14"/>
        <v>562362.5</v>
      </c>
      <c r="P23" s="67">
        <f t="shared" si="15"/>
        <v>562362.5</v>
      </c>
      <c r="Q23" s="68">
        <f t="shared" si="16"/>
        <v>5.1317786850921275E-2</v>
      </c>
    </row>
    <row r="24" spans="1:17" x14ac:dyDescent="0.25">
      <c r="A24" s="61" t="s">
        <v>8</v>
      </c>
      <c r="B24" s="62">
        <v>76.5</v>
      </c>
      <c r="C24" s="63">
        <f t="shared" si="9"/>
        <v>160650</v>
      </c>
      <c r="D24" s="64">
        <v>151.5</v>
      </c>
      <c r="E24" s="63">
        <f t="shared" si="10"/>
        <v>367387.5</v>
      </c>
      <c r="F24" s="62"/>
      <c r="G24" s="71"/>
      <c r="H24" s="62"/>
      <c r="I24" s="71"/>
      <c r="J24" s="72"/>
      <c r="K24" s="63"/>
      <c r="L24" s="91">
        <v>657553</v>
      </c>
      <c r="M24" s="63">
        <f t="shared" si="12"/>
        <v>528037.5</v>
      </c>
      <c r="N24" s="66">
        <f t="shared" si="13"/>
        <v>-0.19696587195252702</v>
      </c>
      <c r="O24" s="87">
        <f t="shared" si="14"/>
        <v>624675.35</v>
      </c>
      <c r="P24" s="67">
        <f t="shared" si="15"/>
        <v>624675.35</v>
      </c>
      <c r="Q24" s="68">
        <f t="shared" si="16"/>
        <v>-5.0000000000000037E-2</v>
      </c>
    </row>
    <row r="25" spans="1:17" x14ac:dyDescent="0.25">
      <c r="A25" s="61" t="s">
        <v>9</v>
      </c>
      <c r="B25" s="62">
        <v>127.5</v>
      </c>
      <c r="C25" s="63">
        <f t="shared" si="9"/>
        <v>267750</v>
      </c>
      <c r="D25" s="64">
        <v>227</v>
      </c>
      <c r="E25" s="63">
        <f t="shared" si="10"/>
        <v>550475</v>
      </c>
      <c r="F25" s="62"/>
      <c r="G25" s="71"/>
      <c r="H25" s="62"/>
      <c r="I25" s="71"/>
      <c r="J25" s="72"/>
      <c r="K25" s="63"/>
      <c r="L25" s="91">
        <v>866153</v>
      </c>
      <c r="M25" s="63">
        <f t="shared" si="12"/>
        <v>818225</v>
      </c>
      <c r="N25" s="66">
        <f t="shared" si="13"/>
        <v>-5.5334334696064087E-2</v>
      </c>
      <c r="O25" s="87">
        <f t="shared" si="14"/>
        <v>822845.35</v>
      </c>
      <c r="P25" s="67">
        <f t="shared" si="15"/>
        <v>822845.35</v>
      </c>
      <c r="Q25" s="68">
        <f t="shared" si="16"/>
        <v>-5.0000000000000024E-2</v>
      </c>
    </row>
    <row r="26" spans="1:17" x14ac:dyDescent="0.25">
      <c r="A26" s="61" t="s">
        <v>10</v>
      </c>
      <c r="B26" s="62">
        <v>146</v>
      </c>
      <c r="C26" s="63">
        <f t="shared" si="9"/>
        <v>306600</v>
      </c>
      <c r="D26" s="64">
        <v>309.5</v>
      </c>
      <c r="E26" s="63">
        <f t="shared" si="10"/>
        <v>750537.5</v>
      </c>
      <c r="F26" s="62"/>
      <c r="G26" s="71"/>
      <c r="H26" s="62"/>
      <c r="I26" s="71"/>
      <c r="J26" s="72"/>
      <c r="K26" s="63"/>
      <c r="L26" s="91">
        <v>1026685</v>
      </c>
      <c r="M26" s="63">
        <f t="shared" si="12"/>
        <v>1057137.5</v>
      </c>
      <c r="N26" s="66">
        <f t="shared" si="13"/>
        <v>2.966099631337752E-2</v>
      </c>
      <c r="O26" s="87">
        <f t="shared" si="14"/>
        <v>1057137.5</v>
      </c>
      <c r="P26" s="67">
        <f t="shared" si="15"/>
        <v>1057137.5</v>
      </c>
      <c r="Q26" s="68">
        <f t="shared" si="16"/>
        <v>2.966099631337752E-2</v>
      </c>
    </row>
    <row r="27" spans="1:17" x14ac:dyDescent="0.25">
      <c r="A27" s="61" t="s">
        <v>11</v>
      </c>
      <c r="B27" s="62">
        <v>1970</v>
      </c>
      <c r="C27" s="63">
        <f t="shared" si="9"/>
        <v>4137000</v>
      </c>
      <c r="D27" s="64">
        <v>2652.5</v>
      </c>
      <c r="E27" s="63">
        <f t="shared" si="10"/>
        <v>6432312.5</v>
      </c>
      <c r="F27" s="62">
        <v>2</v>
      </c>
      <c r="G27" s="71">
        <f>F27*$D$51</f>
        <v>5500</v>
      </c>
      <c r="H27" s="62">
        <v>2</v>
      </c>
      <c r="I27" s="71"/>
      <c r="J27" s="72">
        <v>1</v>
      </c>
      <c r="K27" s="63"/>
      <c r="L27" s="91">
        <v>9993071</v>
      </c>
      <c r="M27" s="63">
        <f t="shared" si="12"/>
        <v>10574812.5</v>
      </c>
      <c r="N27" s="66">
        <f t="shared" si="13"/>
        <v>5.8214486817916133E-2</v>
      </c>
      <c r="O27" s="87">
        <f t="shared" si="14"/>
        <v>10574812.5</v>
      </c>
      <c r="P27" s="67">
        <f t="shared" si="15"/>
        <v>10574812.5</v>
      </c>
      <c r="Q27" s="68">
        <f t="shared" si="16"/>
        <v>5.8214486817916133E-2</v>
      </c>
    </row>
    <row r="28" spans="1:17" x14ac:dyDescent="0.25">
      <c r="A28" s="61" t="s">
        <v>12</v>
      </c>
      <c r="B28" s="62">
        <v>869.5</v>
      </c>
      <c r="C28" s="63">
        <f t="shared" si="9"/>
        <v>1825950</v>
      </c>
      <c r="D28" s="64">
        <v>1000.5</v>
      </c>
      <c r="E28" s="63">
        <f t="shared" si="10"/>
        <v>2426212.5</v>
      </c>
      <c r="F28" s="62"/>
      <c r="G28" s="71"/>
      <c r="H28" s="62">
        <v>7.5</v>
      </c>
      <c r="I28" s="71">
        <f t="shared" ref="I28:I29" si="17">H28*$E$51</f>
        <v>23062.5</v>
      </c>
      <c r="J28" s="72">
        <v>1</v>
      </c>
      <c r="K28" s="63"/>
      <c r="L28" s="91">
        <v>4756617</v>
      </c>
      <c r="M28" s="63">
        <f t="shared" si="12"/>
        <v>4275225</v>
      </c>
      <c r="N28" s="66">
        <f t="shared" si="13"/>
        <v>-0.10120470073583809</v>
      </c>
      <c r="O28" s="87">
        <f t="shared" si="14"/>
        <v>4518786.1499999994</v>
      </c>
      <c r="P28" s="67">
        <f t="shared" si="15"/>
        <v>4518786.1499999994</v>
      </c>
      <c r="Q28" s="68">
        <f t="shared" si="16"/>
        <v>-5.0000000000000121E-2</v>
      </c>
    </row>
    <row r="29" spans="1:17" x14ac:dyDescent="0.25">
      <c r="A29" s="61" t="s">
        <v>13</v>
      </c>
      <c r="B29" s="62">
        <v>692.5</v>
      </c>
      <c r="C29" s="63">
        <f t="shared" si="9"/>
        <v>1454250</v>
      </c>
      <c r="D29" s="64">
        <v>871.5</v>
      </c>
      <c r="E29" s="63">
        <f t="shared" si="10"/>
        <v>2113387.5</v>
      </c>
      <c r="F29" s="62">
        <v>1</v>
      </c>
      <c r="G29" s="71">
        <f t="shared" ref="G29" si="18">F29*$D$51</f>
        <v>2750</v>
      </c>
      <c r="H29" s="62">
        <v>2</v>
      </c>
      <c r="I29" s="71">
        <f t="shared" si="17"/>
        <v>6150</v>
      </c>
      <c r="J29" s="72"/>
      <c r="K29" s="63"/>
      <c r="L29" s="91">
        <v>3816273</v>
      </c>
      <c r="M29" s="63">
        <f t="shared" si="12"/>
        <v>3576537.5</v>
      </c>
      <c r="N29" s="66">
        <f t="shared" si="13"/>
        <v>-6.2819274197626854E-2</v>
      </c>
      <c r="O29" s="87">
        <f t="shared" si="14"/>
        <v>3625459.3499999996</v>
      </c>
      <c r="P29" s="67">
        <f t="shared" si="15"/>
        <v>3625459.3499999996</v>
      </c>
      <c r="Q29" s="68">
        <f t="shared" si="16"/>
        <v>-5.00000000000001E-2</v>
      </c>
    </row>
    <row r="30" spans="1:17" x14ac:dyDescent="0.25">
      <c r="A30" s="61" t="s">
        <v>14</v>
      </c>
      <c r="B30" s="62">
        <v>135.5</v>
      </c>
      <c r="C30" s="63">
        <f t="shared" si="9"/>
        <v>284550</v>
      </c>
      <c r="D30" s="64">
        <v>375</v>
      </c>
      <c r="E30" s="63">
        <f t="shared" si="10"/>
        <v>909375</v>
      </c>
      <c r="F30" s="62"/>
      <c r="G30" s="63"/>
      <c r="H30" s="62"/>
      <c r="I30" s="63"/>
      <c r="J30" s="72">
        <v>2.5</v>
      </c>
      <c r="K30" s="63"/>
      <c r="L30" s="91">
        <v>1172874</v>
      </c>
      <c r="M30" s="63">
        <f t="shared" si="12"/>
        <v>1193925</v>
      </c>
      <c r="N30" s="66">
        <f t="shared" si="13"/>
        <v>1.7948219501839072E-2</v>
      </c>
      <c r="O30" s="87">
        <f t="shared" si="14"/>
        <v>1193925</v>
      </c>
      <c r="P30" s="67">
        <f t="shared" si="15"/>
        <v>1193925</v>
      </c>
      <c r="Q30" s="68">
        <f t="shared" si="16"/>
        <v>1.7948219501839072E-2</v>
      </c>
    </row>
    <row r="31" spans="1:17" x14ac:dyDescent="0.25">
      <c r="A31" s="69"/>
      <c r="B31" s="65"/>
      <c r="C31" s="63"/>
      <c r="D31" s="62"/>
      <c r="E31" s="63"/>
      <c r="F31" s="65"/>
      <c r="G31" s="63"/>
      <c r="H31" s="65"/>
      <c r="I31" s="63"/>
      <c r="J31" s="65"/>
      <c r="K31" s="63"/>
      <c r="L31" s="92"/>
      <c r="M31" s="63"/>
      <c r="N31" s="66"/>
      <c r="O31" s="87"/>
      <c r="P31" s="67"/>
      <c r="Q31" s="68"/>
    </row>
    <row r="32" spans="1:17" x14ac:dyDescent="0.25">
      <c r="A32" s="70" t="s">
        <v>38</v>
      </c>
      <c r="B32" s="65"/>
      <c r="C32" s="63"/>
      <c r="D32" s="62"/>
      <c r="E32" s="63"/>
      <c r="F32" s="65"/>
      <c r="G32" s="63"/>
      <c r="H32" s="65"/>
      <c r="I32" s="63"/>
      <c r="J32" s="65"/>
      <c r="K32" s="63"/>
      <c r="L32" s="92"/>
      <c r="M32" s="63"/>
      <c r="N32" s="66"/>
      <c r="O32" s="87"/>
      <c r="P32" s="67"/>
      <c r="Q32" s="68"/>
    </row>
    <row r="33" spans="1:17" x14ac:dyDescent="0.25">
      <c r="A33" s="61" t="s">
        <v>1</v>
      </c>
      <c r="B33" s="62">
        <v>899.5</v>
      </c>
      <c r="C33" s="63">
        <f>B33*$B$51</f>
        <v>1888950</v>
      </c>
      <c r="D33" s="64">
        <v>1007</v>
      </c>
      <c r="E33" s="63">
        <f>D33*$C$51</f>
        <v>2441975</v>
      </c>
      <c r="F33" s="65"/>
      <c r="G33" s="63"/>
      <c r="H33" s="65"/>
      <c r="I33" s="63"/>
      <c r="J33" s="65"/>
      <c r="K33" s="63"/>
      <c r="L33" s="91">
        <v>3621278</v>
      </c>
      <c r="M33" s="63">
        <f>SUM(K33+I33+G33+E33+C33)</f>
        <v>4330925</v>
      </c>
      <c r="N33" s="66">
        <f>(M33-L33)/L33</f>
        <v>0.19596589933167241</v>
      </c>
      <c r="O33" s="87">
        <f>IF(N33&lt;-0.05,L33*0.95,IF(N33&gt;0.1,L33*1.1,M33))</f>
        <v>3983405.8000000003</v>
      </c>
      <c r="P33" s="67">
        <f>IF(O33=FALSE,M33,O33)</f>
        <v>3983405.8000000003</v>
      </c>
      <c r="Q33" s="68">
        <f>(P33-L33)/L33</f>
        <v>0.10000000000000007</v>
      </c>
    </row>
    <row r="34" spans="1:17" x14ac:dyDescent="0.25">
      <c r="A34" s="61" t="s">
        <v>24</v>
      </c>
      <c r="B34" s="62">
        <v>632</v>
      </c>
      <c r="C34" s="63">
        <f>B34*$B$51</f>
        <v>1327200</v>
      </c>
      <c r="D34" s="62">
        <v>404</v>
      </c>
      <c r="E34" s="63">
        <f>D34*$C$51</f>
        <v>979700</v>
      </c>
      <c r="F34" s="65">
        <v>25</v>
      </c>
      <c r="G34" s="63">
        <f>F34*$D$51</f>
        <v>68750</v>
      </c>
      <c r="H34" s="65">
        <v>0</v>
      </c>
      <c r="I34" s="63">
        <f>H34*$E$51</f>
        <v>0</v>
      </c>
      <c r="J34" s="65"/>
      <c r="K34" s="63">
        <f>J34*$B$51</f>
        <v>0</v>
      </c>
      <c r="L34" s="91">
        <v>2203668</v>
      </c>
      <c r="M34" s="63">
        <f>SUM(K34+I34+G34+E34+C34)</f>
        <v>2375650</v>
      </c>
      <c r="N34" s="66">
        <f>(M34-L34)/L34</f>
        <v>7.8043516536973806E-2</v>
      </c>
      <c r="O34" s="87">
        <f>IF(N34&lt;-0.05,L34*0.95,IF(N34&gt;0.1,L34*1.1,M34))</f>
        <v>2375650</v>
      </c>
      <c r="P34" s="67">
        <f>IF(O34=FALSE,M34,O34)</f>
        <v>2375650</v>
      </c>
      <c r="Q34" s="68">
        <f>(P34-L34)/L34</f>
        <v>7.8043516536973806E-2</v>
      </c>
    </row>
    <row r="35" spans="1:17" x14ac:dyDescent="0.25">
      <c r="A35" s="69"/>
      <c r="B35" s="65"/>
      <c r="C35" s="63"/>
      <c r="D35" s="62"/>
      <c r="E35" s="63"/>
      <c r="F35" s="65"/>
      <c r="G35" s="63"/>
      <c r="H35" s="65"/>
      <c r="I35" s="63"/>
      <c r="J35" s="65"/>
      <c r="K35" s="63"/>
      <c r="L35" s="92"/>
      <c r="M35" s="63"/>
      <c r="N35" s="66"/>
      <c r="O35" s="87"/>
      <c r="P35" s="67"/>
      <c r="Q35" s="68"/>
    </row>
    <row r="36" spans="1:17" x14ac:dyDescent="0.25">
      <c r="A36" s="70" t="s">
        <v>46</v>
      </c>
      <c r="B36" s="65"/>
      <c r="C36" s="63"/>
      <c r="D36" s="6"/>
      <c r="E36" s="63"/>
      <c r="F36" s="65"/>
      <c r="G36" s="63"/>
      <c r="H36" s="65"/>
      <c r="I36" s="63"/>
      <c r="J36" s="65"/>
      <c r="K36" s="63"/>
      <c r="L36" s="92"/>
      <c r="M36" s="63"/>
      <c r="N36" s="66"/>
      <c r="O36" s="87"/>
      <c r="P36" s="67"/>
      <c r="Q36" s="68"/>
    </row>
    <row r="37" spans="1:17" x14ac:dyDescent="0.25">
      <c r="A37" s="61" t="s">
        <v>18</v>
      </c>
      <c r="B37" s="62">
        <v>186.5</v>
      </c>
      <c r="C37" s="63">
        <f>B37*$B$51</f>
        <v>391650</v>
      </c>
      <c r="D37" s="64">
        <v>234</v>
      </c>
      <c r="E37" s="63">
        <f>D37*$C$51</f>
        <v>567450</v>
      </c>
      <c r="F37" s="65">
        <v>206</v>
      </c>
      <c r="G37" s="63">
        <f>F37*$D$51</f>
        <v>566500</v>
      </c>
      <c r="H37" s="64">
        <v>274</v>
      </c>
      <c r="I37" s="63">
        <f>H37*$E$51</f>
        <v>842550</v>
      </c>
      <c r="J37" s="65">
        <v>1.5</v>
      </c>
      <c r="K37" s="63">
        <f>J37*$B$51</f>
        <v>3150</v>
      </c>
      <c r="L37" s="91">
        <v>2167621</v>
      </c>
      <c r="M37" s="63">
        <f>SUM(K37+I37+G37+E37+C37)</f>
        <v>2371300</v>
      </c>
      <c r="N37" s="66">
        <f>(M37-L37)/L37</f>
        <v>9.3964304645507674E-2</v>
      </c>
      <c r="O37" s="87">
        <f>IF(N37&lt;-0.05,L37*0.95,IF(N37&gt;0.1,L37*1.1,M37))</f>
        <v>2371300</v>
      </c>
      <c r="P37" s="67">
        <f>IF(O37=FALSE,M37,O37)</f>
        <v>2371300</v>
      </c>
      <c r="Q37" s="68">
        <f>(P37-L37)/L37</f>
        <v>9.3964304645507674E-2</v>
      </c>
    </row>
    <row r="38" spans="1:17" x14ac:dyDescent="0.25">
      <c r="A38" s="61" t="s">
        <v>16</v>
      </c>
      <c r="B38" s="62">
        <v>12</v>
      </c>
      <c r="C38" s="63">
        <f>B38*$B$51</f>
        <v>25200</v>
      </c>
      <c r="D38" s="64">
        <v>13.5</v>
      </c>
      <c r="E38" s="63">
        <f>D38*$C$51</f>
        <v>32737.5</v>
      </c>
      <c r="F38" s="65">
        <v>14</v>
      </c>
      <c r="G38" s="63">
        <f>F38*$D$51</f>
        <v>38500</v>
      </c>
      <c r="H38" s="64">
        <v>18.5</v>
      </c>
      <c r="I38" s="63">
        <f>H38*$E$51</f>
        <v>56887.5</v>
      </c>
      <c r="J38" s="65"/>
      <c r="K38" s="63"/>
      <c r="L38" s="91">
        <v>158879</v>
      </c>
      <c r="M38" s="63">
        <f>SUM(K38+I38+G38+E38+C38)</f>
        <v>153325</v>
      </c>
      <c r="N38" s="66">
        <f>(M38-L38)/L38</f>
        <v>-3.4957420426865726E-2</v>
      </c>
      <c r="O38" s="87">
        <f>IF(N38&lt;-0.05,L38*0.95,IF(N38&gt;0.1,L38*1.1,M38))</f>
        <v>153325</v>
      </c>
      <c r="P38" s="67">
        <f>IF(O38=FALSE,M38,O38)</f>
        <v>153325</v>
      </c>
      <c r="Q38" s="68">
        <f>(P38-L38)/L38</f>
        <v>-3.4957420426865726E-2</v>
      </c>
    </row>
    <row r="39" spans="1:17" x14ac:dyDescent="0.25">
      <c r="A39" s="61" t="s">
        <v>17</v>
      </c>
      <c r="B39" s="62">
        <v>30</v>
      </c>
      <c r="C39" s="63">
        <f>B39*$B$51</f>
        <v>63000</v>
      </c>
      <c r="D39" s="64">
        <v>23</v>
      </c>
      <c r="E39" s="63">
        <f>D39*$C$51</f>
        <v>55775</v>
      </c>
      <c r="F39" s="65">
        <v>25.5</v>
      </c>
      <c r="G39" s="63">
        <f>F39*$D$51</f>
        <v>70125</v>
      </c>
      <c r="H39" s="64">
        <v>26</v>
      </c>
      <c r="I39" s="63">
        <f>H39*$E$51</f>
        <v>79950</v>
      </c>
      <c r="J39" s="65"/>
      <c r="K39" s="63"/>
      <c r="L39" s="91">
        <v>126850</v>
      </c>
      <c r="M39" s="63">
        <f>SUM(K39+I39+G39+E39+C39)</f>
        <v>268850</v>
      </c>
      <c r="N39" s="66">
        <f>(M39-L39)/L39</f>
        <v>1.1194324004729996</v>
      </c>
      <c r="O39" s="87">
        <f>IF(N39&lt;-0.05,L39*0.95,IF(N39&gt;0.1,L39*1.1,M39))</f>
        <v>139535</v>
      </c>
      <c r="P39" s="67">
        <f>IF(O39=FALSE,M39,O39)</f>
        <v>139535</v>
      </c>
      <c r="Q39" s="68">
        <f>(P39-L39)/L39</f>
        <v>0.1</v>
      </c>
    </row>
    <row r="40" spans="1:17" x14ac:dyDescent="0.25">
      <c r="A40" s="61" t="s">
        <v>19</v>
      </c>
      <c r="B40" s="62">
        <v>147.5</v>
      </c>
      <c r="C40" s="63">
        <f>B40*$B$51</f>
        <v>309750</v>
      </c>
      <c r="D40" s="64">
        <v>125.5</v>
      </c>
      <c r="E40" s="63">
        <f>D40*$C$51</f>
        <v>304337.5</v>
      </c>
      <c r="F40" s="65">
        <v>187.5</v>
      </c>
      <c r="G40" s="63">
        <f>F40*$D$51</f>
        <v>515625</v>
      </c>
      <c r="H40" s="64">
        <v>313</v>
      </c>
      <c r="I40" s="63">
        <f>H40*$E$51</f>
        <v>962475</v>
      </c>
      <c r="J40" s="65">
        <v>6.5</v>
      </c>
      <c r="K40" s="63">
        <f>J40*$B$51</f>
        <v>13650</v>
      </c>
      <c r="L40" s="91">
        <v>2410209</v>
      </c>
      <c r="M40" s="63">
        <f>SUM(K40+I40+G40+E40+C40)</f>
        <v>2105837.5</v>
      </c>
      <c r="N40" s="66">
        <f>(M40-L40)/L40</f>
        <v>-0.12628427659178104</v>
      </c>
      <c r="O40" s="87">
        <f>IF(N40&lt;-0.05,L40*0.95,IF(N40&gt;0.1,L40*1.1,M40))</f>
        <v>2289698.5499999998</v>
      </c>
      <c r="P40" s="67">
        <f>IF(O40=FALSE,M40,O40)</f>
        <v>2289698.5499999998</v>
      </c>
      <c r="Q40" s="68">
        <f>(P40-L40)/L40</f>
        <v>-5.0000000000000079E-2</v>
      </c>
    </row>
    <row r="41" spans="1:17" x14ac:dyDescent="0.25">
      <c r="A41" s="61" t="s">
        <v>20</v>
      </c>
      <c r="B41" s="62">
        <v>48</v>
      </c>
      <c r="C41" s="63">
        <f>B41*$B$51</f>
        <v>100800</v>
      </c>
      <c r="D41" s="64">
        <v>135</v>
      </c>
      <c r="E41" s="63">
        <f>D41*$C$51</f>
        <v>327375</v>
      </c>
      <c r="F41" s="65">
        <v>126.5</v>
      </c>
      <c r="G41" s="63">
        <f>F41*$D$51</f>
        <v>347875</v>
      </c>
      <c r="H41" s="64">
        <v>250</v>
      </c>
      <c r="I41" s="63">
        <f>H41*$E$51</f>
        <v>768750</v>
      </c>
      <c r="J41" s="65">
        <v>0.5</v>
      </c>
      <c r="K41" s="63">
        <f>J41*$B$51</f>
        <v>1050</v>
      </c>
      <c r="L41" s="91">
        <v>1460713</v>
      </c>
      <c r="M41" s="63">
        <f>SUM(K41+I41+G41+E41+C41)</f>
        <v>1545850</v>
      </c>
      <c r="N41" s="66">
        <f>(M41-L41)/L41</f>
        <v>5.8284550079310583E-2</v>
      </c>
      <c r="O41" s="87">
        <f>IF(N41&lt;-0.05,L41*0.95,IF(N41&gt;0.1,L41*1.1,M41))</f>
        <v>1545850</v>
      </c>
      <c r="P41" s="67">
        <f>IF(O41=FALSE,M41,O41)</f>
        <v>1545850</v>
      </c>
      <c r="Q41" s="68">
        <f>(P41-L41)/L41</f>
        <v>5.8284550079310583E-2</v>
      </c>
    </row>
    <row r="42" spans="1:17" x14ac:dyDescent="0.25">
      <c r="A42" s="69"/>
      <c r="B42" s="65"/>
      <c r="C42" s="63"/>
      <c r="D42" s="62"/>
      <c r="E42" s="63"/>
      <c r="F42" s="65"/>
      <c r="G42" s="63"/>
      <c r="H42" s="62"/>
      <c r="I42" s="63"/>
      <c r="J42" s="65"/>
      <c r="K42" s="63"/>
      <c r="L42" s="92"/>
      <c r="M42" s="63"/>
      <c r="N42" s="66"/>
      <c r="O42" s="87"/>
      <c r="P42" s="67"/>
      <c r="Q42" s="68"/>
    </row>
    <row r="43" spans="1:17" x14ac:dyDescent="0.25">
      <c r="A43" s="70" t="s">
        <v>47</v>
      </c>
      <c r="B43" s="65"/>
      <c r="C43" s="63"/>
      <c r="D43" s="62"/>
      <c r="E43" s="63"/>
      <c r="F43" s="65"/>
      <c r="G43" s="63"/>
      <c r="H43" s="62"/>
      <c r="I43" s="63"/>
      <c r="J43" s="65"/>
      <c r="K43" s="63"/>
      <c r="L43" s="92"/>
      <c r="M43" s="63"/>
      <c r="N43" s="66"/>
      <c r="O43" s="87"/>
      <c r="P43" s="67"/>
      <c r="Q43" s="68"/>
    </row>
    <row r="44" spans="1:17" x14ac:dyDescent="0.25">
      <c r="A44" s="61" t="s">
        <v>37</v>
      </c>
      <c r="B44" s="62">
        <v>32.5</v>
      </c>
      <c r="C44" s="63">
        <f>B44*$B$51</f>
        <v>68250</v>
      </c>
      <c r="D44" s="64">
        <v>24</v>
      </c>
      <c r="E44" s="63">
        <f t="shared" ref="E44:E46" si="19">D44*$C$51</f>
        <v>58200</v>
      </c>
      <c r="F44" s="65"/>
      <c r="G44" s="63"/>
      <c r="H44" s="62"/>
      <c r="I44" s="63"/>
      <c r="J44" s="65"/>
      <c r="K44" s="63"/>
      <c r="L44" s="91">
        <v>151048</v>
      </c>
      <c r="M44" s="63">
        <f>SUM(K44+I44+G44+E44+C44)</f>
        <v>126450</v>
      </c>
      <c r="N44" s="66">
        <f>(M44-L44)/L44</f>
        <v>-0.16284889571526931</v>
      </c>
      <c r="O44" s="87">
        <f>IF(N44&lt;-0.05,L44*0.95,IF(N44&gt;0.1,L44*1.1,M44))</f>
        <v>143495.6</v>
      </c>
      <c r="P44" s="67">
        <f>IF(O44=FALSE,M44,O44)</f>
        <v>143495.6</v>
      </c>
      <c r="Q44" s="68">
        <f>(P44-L44)/L44</f>
        <v>-4.9999999999999961E-2</v>
      </c>
    </row>
    <row r="45" spans="1:17" x14ac:dyDescent="0.25">
      <c r="A45" s="61" t="s">
        <v>35</v>
      </c>
      <c r="B45" s="62">
        <v>490</v>
      </c>
      <c r="C45" s="63">
        <f>B45*$B$51</f>
        <v>1029000</v>
      </c>
      <c r="D45" s="64"/>
      <c r="E45" s="63">
        <f t="shared" si="19"/>
        <v>0</v>
      </c>
      <c r="F45" s="65"/>
      <c r="G45" s="63"/>
      <c r="H45" s="62"/>
      <c r="I45" s="63"/>
      <c r="J45" s="65"/>
      <c r="K45" s="63"/>
      <c r="L45" s="91">
        <v>717977</v>
      </c>
      <c r="M45" s="63">
        <f>SUM(K45+I45+G45+E45+C45)</f>
        <v>1029000</v>
      </c>
      <c r="N45" s="66">
        <f>(M45-L45)/L45</f>
        <v>0.43319354241152574</v>
      </c>
      <c r="O45" s="87">
        <f>IF(N45&lt;-0.05,L45*0.95,IF(N45&gt;0.1,L45*1.1,M45))</f>
        <v>789774.70000000007</v>
      </c>
      <c r="P45" s="67">
        <f>IF(O45=FALSE,M45,O45)</f>
        <v>789774.70000000007</v>
      </c>
      <c r="Q45" s="68">
        <f>(P45-L45)/L45</f>
        <v>0.1000000000000001</v>
      </c>
    </row>
    <row r="46" spans="1:17" x14ac:dyDescent="0.25">
      <c r="A46" s="61" t="s">
        <v>36</v>
      </c>
      <c r="B46" s="62">
        <v>110</v>
      </c>
      <c r="C46" s="63">
        <f>B46*$B$51</f>
        <v>231000</v>
      </c>
      <c r="D46" s="73">
        <v>93.5</v>
      </c>
      <c r="E46" s="74">
        <f t="shared" si="19"/>
        <v>226737.5</v>
      </c>
      <c r="F46" s="75"/>
      <c r="G46" s="67"/>
      <c r="H46" s="73">
        <v>2</v>
      </c>
      <c r="I46" s="67">
        <f t="shared" ref="I46" si="20">H46*$E$51</f>
        <v>6150</v>
      </c>
      <c r="J46" s="65"/>
      <c r="K46" s="63"/>
      <c r="L46" s="91">
        <v>542250</v>
      </c>
      <c r="M46" s="63">
        <f>SUM(K46+I46+G46+E46+C46)</f>
        <v>463887.5</v>
      </c>
      <c r="N46" s="66">
        <f>(M46-L46)/L46</f>
        <v>-0.14451360073766711</v>
      </c>
      <c r="O46" s="87">
        <f>IF(N46&lt;-0.05,L46*0.95,IF(N46&gt;0.1,L46*1.1,M46))</f>
        <v>515137.5</v>
      </c>
      <c r="P46" s="67">
        <f>IF(O46=FALSE,M46,O46)</f>
        <v>515137.5</v>
      </c>
      <c r="Q46" s="68">
        <f>(P46-L46)/L46</f>
        <v>-0.05</v>
      </c>
    </row>
    <row r="47" spans="1:17" ht="18.75" x14ac:dyDescent="0.3">
      <c r="A47" s="76" t="s">
        <v>48</v>
      </c>
      <c r="B47" s="77">
        <f>SUM(B4:B46)</f>
        <v>17289.5</v>
      </c>
      <c r="C47" s="78">
        <f>SUM(C4:C46)</f>
        <v>36307950</v>
      </c>
      <c r="D47" s="77">
        <f>SUM(D4:D46)</f>
        <v>19070</v>
      </c>
      <c r="E47" s="78">
        <f>SUM(E4:E46)</f>
        <v>46244750</v>
      </c>
      <c r="F47" s="79">
        <f>SUM(F4:F41)</f>
        <v>8126.5</v>
      </c>
      <c r="G47" s="78">
        <f>SUM(G4:G41)</f>
        <v>22347875</v>
      </c>
      <c r="H47" s="77">
        <f>SUM(H4:H41)</f>
        <v>15635.5</v>
      </c>
      <c r="I47" s="78">
        <f>SUM(I4:I46)</f>
        <v>48079162.5</v>
      </c>
      <c r="J47" s="79">
        <f>SUM(J4:J41)</f>
        <v>160</v>
      </c>
      <c r="K47" s="78">
        <f>SUM(K4:K46)</f>
        <v>325500</v>
      </c>
      <c r="L47" s="93">
        <f>SUM(L4:L46)</f>
        <v>149735303</v>
      </c>
      <c r="M47" s="78">
        <f>SUM(K47+I47+G47+E47+C47)</f>
        <v>153305237.5</v>
      </c>
      <c r="N47" s="80">
        <f>(M47-L47)/L47</f>
        <v>2.3841635395762346E-2</v>
      </c>
      <c r="O47" s="88">
        <f>SUM(O4:O46)</f>
        <v>153616059.09999996</v>
      </c>
      <c r="P47" s="81">
        <f>SUM(P4:P46)</f>
        <v>153616059.09999996</v>
      </c>
      <c r="Q47" s="82">
        <f>(P47-L47)/L47</f>
        <v>2.5917442461781803E-2</v>
      </c>
    </row>
    <row r="48" spans="1:17" x14ac:dyDescent="0.25">
      <c r="A48" s="11"/>
      <c r="M48" s="13"/>
    </row>
    <row r="49" spans="1:16" x14ac:dyDescent="0.25">
      <c r="L49" s="15"/>
      <c r="P49" s="8"/>
    </row>
    <row r="50" spans="1:16" x14ac:dyDescent="0.25">
      <c r="A50" s="11" t="s">
        <v>55</v>
      </c>
      <c r="B50" s="9" t="s">
        <v>49</v>
      </c>
      <c r="C50" s="9" t="s">
        <v>50</v>
      </c>
      <c r="D50" s="9" t="s">
        <v>51</v>
      </c>
      <c r="E50" s="9" t="s">
        <v>52</v>
      </c>
      <c r="K50" s="11"/>
      <c r="N50" s="12"/>
      <c r="O50" s="9"/>
    </row>
    <row r="51" spans="1:16" x14ac:dyDescent="0.25">
      <c r="A51" s="9">
        <v>325</v>
      </c>
      <c r="B51" s="12">
        <v>2100</v>
      </c>
      <c r="C51" s="12">
        <f>B51+A51</f>
        <v>2425</v>
      </c>
      <c r="D51" s="12">
        <f>C51+A51</f>
        <v>2750</v>
      </c>
      <c r="E51" s="12">
        <f>D51+A51</f>
        <v>3075</v>
      </c>
      <c r="L51" s="12"/>
      <c r="M51" s="12"/>
      <c r="N51" s="12"/>
    </row>
    <row r="52" spans="1:16" x14ac:dyDescent="0.25">
      <c r="N52" s="12"/>
      <c r="O52" s="9"/>
    </row>
    <row r="53" spans="1:16" x14ac:dyDescent="0.25">
      <c r="N53" s="12"/>
      <c r="O53" s="9"/>
    </row>
    <row r="54" spans="1:16" x14ac:dyDescent="0.25">
      <c r="N54" s="12"/>
      <c r="O54" s="9"/>
    </row>
    <row r="55" spans="1:16" x14ac:dyDescent="0.25">
      <c r="A55" s="9" t="s">
        <v>56</v>
      </c>
      <c r="B55" s="12">
        <f>P49-P47</f>
        <v>-153616059.09999996</v>
      </c>
      <c r="L55" s="12"/>
      <c r="N55" s="12"/>
      <c r="O55" s="9"/>
    </row>
    <row r="56" spans="1:16" x14ac:dyDescent="0.25">
      <c r="B56" s="14"/>
      <c r="L56" s="14"/>
      <c r="N56" s="12"/>
      <c r="O56" s="9"/>
    </row>
    <row r="57" spans="1:16" x14ac:dyDescent="0.25">
      <c r="N57" s="12"/>
      <c r="O57" s="9"/>
    </row>
    <row r="58" spans="1:16" x14ac:dyDescent="0.25">
      <c r="A58" s="9" t="s">
        <v>53</v>
      </c>
      <c r="N58" s="12"/>
      <c r="O58" s="9"/>
    </row>
    <row r="59" spans="1:16" x14ac:dyDescent="0.25">
      <c r="B59" s="9" t="s">
        <v>49</v>
      </c>
      <c r="C59" s="9" t="s">
        <v>50</v>
      </c>
      <c r="D59" s="9" t="s">
        <v>51</v>
      </c>
      <c r="E59" s="9" t="s">
        <v>52</v>
      </c>
      <c r="N59" s="12"/>
      <c r="O59" s="9"/>
    </row>
    <row r="60" spans="1:16" x14ac:dyDescent="0.25">
      <c r="A60" s="9">
        <v>399</v>
      </c>
      <c r="B60" s="12">
        <v>2250</v>
      </c>
      <c r="C60" s="12">
        <v>2649</v>
      </c>
      <c r="D60" s="12">
        <v>3048</v>
      </c>
      <c r="E60" s="12">
        <v>3447</v>
      </c>
      <c r="L60" s="12"/>
      <c r="M60" s="12"/>
      <c r="N60" s="12"/>
    </row>
    <row r="61" spans="1:16" x14ac:dyDescent="0.25">
      <c r="N61" s="12"/>
      <c r="O61" s="9"/>
    </row>
  </sheetData>
  <pageMargins left="0.25" right="0.25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5E248-F50C-415C-ABC9-F99A090463A6}">
  <dimension ref="A1:Q61"/>
  <sheetViews>
    <sheetView zoomScale="80" zoomScaleNormal="80" zoomScaleSheetLayoutView="70" workbookViewId="0">
      <selection activeCell="G17" sqref="G17"/>
    </sheetView>
  </sheetViews>
  <sheetFormatPr defaultRowHeight="15" x14ac:dyDescent="0.25"/>
  <cols>
    <col min="1" max="1" width="39.42578125" customWidth="1"/>
    <col min="2" max="2" width="14.7109375" customWidth="1"/>
    <col min="3" max="3" width="15.7109375" customWidth="1"/>
    <col min="4" max="4" width="11.5703125" customWidth="1"/>
    <col min="5" max="5" width="15.5703125" customWidth="1"/>
    <col min="6" max="6" width="9.140625" customWidth="1"/>
    <col min="7" max="7" width="15.7109375" customWidth="1"/>
    <col min="8" max="8" width="9.140625" customWidth="1"/>
    <col min="9" max="9" width="15.7109375" customWidth="1"/>
    <col min="10" max="10" width="16" customWidth="1"/>
    <col min="11" max="11" width="16.42578125" customWidth="1"/>
    <col min="12" max="13" width="21" customWidth="1"/>
    <col min="14" max="14" width="12.140625" customWidth="1"/>
    <col min="15" max="15" width="20.85546875" style="12" customWidth="1"/>
    <col min="16" max="16" width="21" style="5" hidden="1" customWidth="1"/>
    <col min="17" max="17" width="13.5703125" customWidth="1"/>
  </cols>
  <sheetData>
    <row r="1" spans="1:17" s="9" customFormat="1" x14ac:dyDescent="0.25">
      <c r="A1" s="51" t="s">
        <v>73</v>
      </c>
      <c r="O1" s="12"/>
      <c r="P1" s="10"/>
    </row>
    <row r="2" spans="1:17" s="9" customFormat="1" ht="60" x14ac:dyDescent="0.25">
      <c r="A2" s="52"/>
      <c r="B2" s="53" t="s">
        <v>39</v>
      </c>
      <c r="C2" s="53"/>
      <c r="D2" s="53" t="s">
        <v>40</v>
      </c>
      <c r="E2" s="53"/>
      <c r="F2" s="53" t="s">
        <v>41</v>
      </c>
      <c r="G2" s="53"/>
      <c r="H2" s="53" t="s">
        <v>42</v>
      </c>
      <c r="I2" s="53"/>
      <c r="J2" s="53" t="s">
        <v>43</v>
      </c>
      <c r="K2" s="53"/>
      <c r="L2" s="89" t="s">
        <v>89</v>
      </c>
      <c r="M2" s="54" t="s">
        <v>69</v>
      </c>
      <c r="N2" s="54" t="s">
        <v>90</v>
      </c>
      <c r="O2" s="85" t="s">
        <v>81</v>
      </c>
      <c r="P2" s="55" t="str">
        <f>"FY 2020-21 
with "&amp;O2</f>
        <v>FY 2020-21 
with Guardrail Allocation 
(-3%, 10%)</v>
      </c>
      <c r="Q2" s="54" t="s">
        <v>90</v>
      </c>
    </row>
    <row r="3" spans="1:17" x14ac:dyDescent="0.25">
      <c r="A3" s="56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90"/>
      <c r="M3" s="57"/>
      <c r="N3" s="58">
        <f>AVERAGE(N4:N15)</f>
        <v>7.3289561581441551E-3</v>
      </c>
      <c r="O3" s="86"/>
      <c r="P3" s="59"/>
      <c r="Q3" s="60"/>
    </row>
    <row r="4" spans="1:17" x14ac:dyDescent="0.25">
      <c r="A4" s="61" t="s">
        <v>22</v>
      </c>
      <c r="B4" s="62">
        <v>207.5</v>
      </c>
      <c r="C4" s="63">
        <f>B4*$B$51</f>
        <v>434712.5</v>
      </c>
      <c r="D4" s="62">
        <v>147</v>
      </c>
      <c r="E4" s="63">
        <f t="shared" ref="E4:E15" si="0">D4*$C$51</f>
        <v>355005</v>
      </c>
      <c r="F4" s="64">
        <v>125.5</v>
      </c>
      <c r="G4" s="63">
        <f t="shared" ref="G4:G15" si="1">F4*$D$51</f>
        <v>343242.5</v>
      </c>
      <c r="H4" s="64">
        <v>259.5</v>
      </c>
      <c r="I4" s="63">
        <f t="shared" ref="I4:I15" si="2">H4*$E$51</f>
        <v>792772.5</v>
      </c>
      <c r="J4" s="62">
        <v>4</v>
      </c>
      <c r="K4" s="63">
        <f t="shared" ref="K4:K29" si="3">J4*$B$51</f>
        <v>8380</v>
      </c>
      <c r="L4" s="91">
        <v>2259818</v>
      </c>
      <c r="M4" s="63">
        <f t="shared" ref="M4:M15" si="4">SUM(K4+I4+G4+E4+C4)</f>
        <v>1934112.5</v>
      </c>
      <c r="N4" s="66">
        <f t="shared" ref="N4:N15" si="5">(M4-L4)/L4</f>
        <v>-0.14412908473160227</v>
      </c>
      <c r="O4" s="87">
        <f t="shared" ref="O4:O46" si="6">IF(N4&lt;-0.03,L4*0.97,IF(N4&gt;0.1,L4*1.1,M4))</f>
        <v>2192023.46</v>
      </c>
      <c r="P4" s="67">
        <f t="shared" ref="P4:P15" si="7">IF(O4=FALSE,M4,O4)</f>
        <v>2192023.46</v>
      </c>
      <c r="Q4" s="68">
        <f t="shared" ref="Q4:Q15" si="8">(P4-L4)/L4</f>
        <v>-3.0000000000000016E-2</v>
      </c>
    </row>
    <row r="5" spans="1:17" x14ac:dyDescent="0.25">
      <c r="A5" s="61" t="s">
        <v>23</v>
      </c>
      <c r="B5" s="62">
        <v>588</v>
      </c>
      <c r="C5" s="63">
        <f t="shared" ref="C5:C30" si="9">B5*$B$51</f>
        <v>1231860</v>
      </c>
      <c r="D5" s="62">
        <v>750.5</v>
      </c>
      <c r="E5" s="63">
        <f t="shared" si="0"/>
        <v>1812457.5</v>
      </c>
      <c r="F5" s="64">
        <v>574</v>
      </c>
      <c r="G5" s="63">
        <f t="shared" si="1"/>
        <v>1569890</v>
      </c>
      <c r="H5" s="64">
        <v>1142</v>
      </c>
      <c r="I5" s="63">
        <f t="shared" si="2"/>
        <v>3488810</v>
      </c>
      <c r="J5" s="62">
        <v>15</v>
      </c>
      <c r="K5" s="63">
        <f t="shared" si="3"/>
        <v>31425</v>
      </c>
      <c r="L5" s="91">
        <v>8358127</v>
      </c>
      <c r="M5" s="63">
        <f t="shared" si="4"/>
        <v>8134442.5</v>
      </c>
      <c r="N5" s="66">
        <f t="shared" si="5"/>
        <v>-2.6762515094589972E-2</v>
      </c>
      <c r="O5" s="87">
        <f t="shared" si="6"/>
        <v>8134442.5</v>
      </c>
      <c r="P5" s="67">
        <f t="shared" si="7"/>
        <v>8134442.5</v>
      </c>
      <c r="Q5" s="68">
        <f t="shared" si="8"/>
        <v>-2.6762515094589972E-2</v>
      </c>
    </row>
    <row r="6" spans="1:17" x14ac:dyDescent="0.25">
      <c r="A6" s="61" t="s">
        <v>25</v>
      </c>
      <c r="B6" s="62">
        <v>98.5</v>
      </c>
      <c r="C6" s="63">
        <f t="shared" si="9"/>
        <v>206357.5</v>
      </c>
      <c r="D6" s="62">
        <v>163.5</v>
      </c>
      <c r="E6" s="63">
        <f t="shared" si="0"/>
        <v>394852.5</v>
      </c>
      <c r="F6" s="64">
        <v>132.5</v>
      </c>
      <c r="G6" s="63">
        <f t="shared" si="1"/>
        <v>362387.5</v>
      </c>
      <c r="H6" s="64">
        <v>235</v>
      </c>
      <c r="I6" s="63">
        <f t="shared" si="2"/>
        <v>717925</v>
      </c>
      <c r="J6" s="62">
        <v>3.5</v>
      </c>
      <c r="K6" s="63">
        <f t="shared" si="3"/>
        <v>7332.5</v>
      </c>
      <c r="L6" s="91">
        <v>1618343</v>
      </c>
      <c r="M6" s="63">
        <f t="shared" si="4"/>
        <v>1688855</v>
      </c>
      <c r="N6" s="66">
        <f t="shared" si="5"/>
        <v>4.3570491545982526E-2</v>
      </c>
      <c r="O6" s="87">
        <f t="shared" si="6"/>
        <v>1688855</v>
      </c>
      <c r="P6" s="67">
        <f t="shared" si="7"/>
        <v>1688855</v>
      </c>
      <c r="Q6" s="68">
        <f t="shared" si="8"/>
        <v>4.3570491545982526E-2</v>
      </c>
    </row>
    <row r="7" spans="1:17" x14ac:dyDescent="0.25">
      <c r="A7" s="61" t="s">
        <v>26</v>
      </c>
      <c r="B7" s="62">
        <v>1176.5</v>
      </c>
      <c r="C7" s="63">
        <f t="shared" si="9"/>
        <v>2464767.5</v>
      </c>
      <c r="D7" s="62">
        <v>1007.5</v>
      </c>
      <c r="E7" s="63">
        <f t="shared" si="0"/>
        <v>2433112.5</v>
      </c>
      <c r="F7" s="64">
        <v>1240.5</v>
      </c>
      <c r="G7" s="63">
        <f t="shared" si="1"/>
        <v>3392767.5</v>
      </c>
      <c r="H7" s="64">
        <v>1669</v>
      </c>
      <c r="I7" s="63">
        <f t="shared" si="2"/>
        <v>5098795</v>
      </c>
      <c r="J7" s="62">
        <v>11.5</v>
      </c>
      <c r="K7" s="63">
        <f t="shared" si="3"/>
        <v>24092.5</v>
      </c>
      <c r="L7" s="91">
        <v>13125938</v>
      </c>
      <c r="M7" s="63">
        <f t="shared" si="4"/>
        <v>13413535</v>
      </c>
      <c r="N7" s="66">
        <f t="shared" si="5"/>
        <v>2.1910586504370201E-2</v>
      </c>
      <c r="O7" s="87">
        <f t="shared" si="6"/>
        <v>13413535</v>
      </c>
      <c r="P7" s="67">
        <f t="shared" si="7"/>
        <v>13413535</v>
      </c>
      <c r="Q7" s="68">
        <f t="shared" si="8"/>
        <v>2.1910586504370201E-2</v>
      </c>
    </row>
    <row r="8" spans="1:17" x14ac:dyDescent="0.25">
      <c r="A8" s="61" t="s">
        <v>27</v>
      </c>
      <c r="B8" s="62">
        <v>298.5</v>
      </c>
      <c r="C8" s="63">
        <f t="shared" si="9"/>
        <v>625357.5</v>
      </c>
      <c r="D8" s="62">
        <v>278.5</v>
      </c>
      <c r="E8" s="63">
        <f t="shared" si="0"/>
        <v>672577.5</v>
      </c>
      <c r="F8" s="64">
        <v>355</v>
      </c>
      <c r="G8" s="63">
        <f t="shared" si="1"/>
        <v>970925</v>
      </c>
      <c r="H8" s="64">
        <v>676</v>
      </c>
      <c r="I8" s="63">
        <f t="shared" si="2"/>
        <v>2065180</v>
      </c>
      <c r="J8" s="62">
        <v>11</v>
      </c>
      <c r="K8" s="63">
        <f t="shared" si="3"/>
        <v>23045</v>
      </c>
      <c r="L8" s="91">
        <v>4579037</v>
      </c>
      <c r="M8" s="63">
        <f t="shared" si="4"/>
        <v>4357085</v>
      </c>
      <c r="N8" s="66">
        <f t="shared" si="5"/>
        <v>-4.8471327049770509E-2</v>
      </c>
      <c r="O8" s="87">
        <f t="shared" si="6"/>
        <v>4441665.8899999997</v>
      </c>
      <c r="P8" s="67">
        <f t="shared" si="7"/>
        <v>4441665.8899999997</v>
      </c>
      <c r="Q8" s="68">
        <f t="shared" si="8"/>
        <v>-3.0000000000000072E-2</v>
      </c>
    </row>
    <row r="9" spans="1:17" x14ac:dyDescent="0.25">
      <c r="A9" s="61" t="s">
        <v>28</v>
      </c>
      <c r="B9" s="62">
        <v>64.5</v>
      </c>
      <c r="C9" s="63">
        <f t="shared" si="9"/>
        <v>135127.5</v>
      </c>
      <c r="D9" s="62">
        <v>112</v>
      </c>
      <c r="E9" s="63">
        <f t="shared" si="0"/>
        <v>270480</v>
      </c>
      <c r="F9" s="64">
        <v>110.5</v>
      </c>
      <c r="G9" s="63">
        <f t="shared" si="1"/>
        <v>302217.5</v>
      </c>
      <c r="H9" s="64">
        <v>210</v>
      </c>
      <c r="I9" s="63">
        <f t="shared" si="2"/>
        <v>641550</v>
      </c>
      <c r="J9" s="62">
        <v>2</v>
      </c>
      <c r="K9" s="63">
        <f t="shared" si="3"/>
        <v>4190</v>
      </c>
      <c r="L9" s="91">
        <v>1497559</v>
      </c>
      <c r="M9" s="63">
        <f t="shared" si="4"/>
        <v>1353565</v>
      </c>
      <c r="N9" s="66">
        <f t="shared" si="5"/>
        <v>-9.6152472122968111E-2</v>
      </c>
      <c r="O9" s="87">
        <f t="shared" si="6"/>
        <v>1452632.23</v>
      </c>
      <c r="P9" s="67">
        <f t="shared" si="7"/>
        <v>1452632.23</v>
      </c>
      <c r="Q9" s="68">
        <f t="shared" si="8"/>
        <v>-3.0000000000000013E-2</v>
      </c>
    </row>
    <row r="10" spans="1:17" x14ac:dyDescent="0.25">
      <c r="A10" s="61" t="s">
        <v>29</v>
      </c>
      <c r="B10" s="62">
        <v>1454</v>
      </c>
      <c r="C10" s="63">
        <f t="shared" si="9"/>
        <v>3046130</v>
      </c>
      <c r="D10" s="62">
        <v>1385</v>
      </c>
      <c r="E10" s="63">
        <f t="shared" si="0"/>
        <v>3344775</v>
      </c>
      <c r="F10" s="64">
        <v>1627.5</v>
      </c>
      <c r="G10" s="63">
        <f t="shared" si="1"/>
        <v>4451212.5</v>
      </c>
      <c r="H10" s="64">
        <v>3397</v>
      </c>
      <c r="I10" s="63">
        <f t="shared" si="2"/>
        <v>10377835</v>
      </c>
      <c r="J10" s="62">
        <v>15.5</v>
      </c>
      <c r="K10" s="63">
        <f t="shared" si="3"/>
        <v>32472.5</v>
      </c>
      <c r="L10" s="91">
        <v>20913437</v>
      </c>
      <c r="M10" s="63">
        <f t="shared" si="4"/>
        <v>21252425</v>
      </c>
      <c r="N10" s="66">
        <f t="shared" si="5"/>
        <v>1.6209100397988147E-2</v>
      </c>
      <c r="O10" s="87">
        <f t="shared" si="6"/>
        <v>21252425</v>
      </c>
      <c r="P10" s="67">
        <f t="shared" si="7"/>
        <v>21252425</v>
      </c>
      <c r="Q10" s="68">
        <f t="shared" si="8"/>
        <v>1.6209100397988147E-2</v>
      </c>
    </row>
    <row r="11" spans="1:17" x14ac:dyDescent="0.25">
      <c r="A11" s="61" t="s">
        <v>30</v>
      </c>
      <c r="B11" s="62">
        <v>583.5</v>
      </c>
      <c r="C11" s="63">
        <f t="shared" si="9"/>
        <v>1222432.5</v>
      </c>
      <c r="D11" s="62">
        <v>766</v>
      </c>
      <c r="E11" s="63">
        <f t="shared" si="0"/>
        <v>1849890</v>
      </c>
      <c r="F11" s="64">
        <v>896.5</v>
      </c>
      <c r="G11" s="63">
        <f t="shared" si="1"/>
        <v>2451927.5</v>
      </c>
      <c r="H11" s="64">
        <v>1955.5</v>
      </c>
      <c r="I11" s="63">
        <f t="shared" si="2"/>
        <v>5974052.5</v>
      </c>
      <c r="J11" s="62">
        <v>31</v>
      </c>
      <c r="K11" s="63">
        <f t="shared" si="3"/>
        <v>64945</v>
      </c>
      <c r="L11" s="91">
        <v>10546316</v>
      </c>
      <c r="M11" s="63">
        <f t="shared" si="4"/>
        <v>11563247.5</v>
      </c>
      <c r="N11" s="66">
        <f t="shared" si="5"/>
        <v>9.6425282534678455E-2</v>
      </c>
      <c r="O11" s="87">
        <f t="shared" si="6"/>
        <v>11563247.5</v>
      </c>
      <c r="P11" s="67">
        <f t="shared" si="7"/>
        <v>11563247.5</v>
      </c>
      <c r="Q11" s="68">
        <f t="shared" si="8"/>
        <v>9.6425282534678455E-2</v>
      </c>
    </row>
    <row r="12" spans="1:17" x14ac:dyDescent="0.25">
      <c r="A12" s="61" t="s">
        <v>31</v>
      </c>
      <c r="B12" s="62">
        <v>587.5</v>
      </c>
      <c r="C12" s="63">
        <f t="shared" si="9"/>
        <v>1230812.5</v>
      </c>
      <c r="D12" s="62">
        <v>622</v>
      </c>
      <c r="E12" s="63">
        <f t="shared" si="0"/>
        <v>1502130</v>
      </c>
      <c r="F12" s="64">
        <v>675</v>
      </c>
      <c r="G12" s="63">
        <f t="shared" si="1"/>
        <v>1846125</v>
      </c>
      <c r="H12" s="64">
        <v>1517</v>
      </c>
      <c r="I12" s="63">
        <f t="shared" si="2"/>
        <v>4634435</v>
      </c>
      <c r="J12" s="62">
        <v>45</v>
      </c>
      <c r="K12" s="63">
        <f t="shared" si="3"/>
        <v>94275</v>
      </c>
      <c r="L12" s="91">
        <v>8941951</v>
      </c>
      <c r="M12" s="63">
        <f t="shared" si="4"/>
        <v>9307777.5</v>
      </c>
      <c r="N12" s="66">
        <f t="shared" si="5"/>
        <v>4.0911261982983359E-2</v>
      </c>
      <c r="O12" s="87">
        <f t="shared" si="6"/>
        <v>9307777.5</v>
      </c>
      <c r="P12" s="67">
        <f t="shared" si="7"/>
        <v>9307777.5</v>
      </c>
      <c r="Q12" s="68">
        <f t="shared" si="8"/>
        <v>4.0911261982983359E-2</v>
      </c>
    </row>
    <row r="13" spans="1:17" x14ac:dyDescent="0.25">
      <c r="A13" s="61" t="s">
        <v>32</v>
      </c>
      <c r="B13" s="62">
        <v>613.5</v>
      </c>
      <c r="C13" s="63">
        <f t="shared" si="9"/>
        <v>1285282.5</v>
      </c>
      <c r="D13" s="62">
        <v>755</v>
      </c>
      <c r="E13" s="63">
        <f t="shared" si="0"/>
        <v>1823325</v>
      </c>
      <c r="F13" s="64">
        <v>1062</v>
      </c>
      <c r="G13" s="63">
        <f t="shared" si="1"/>
        <v>2904570</v>
      </c>
      <c r="H13" s="64">
        <v>2028.5</v>
      </c>
      <c r="I13" s="63">
        <f t="shared" si="2"/>
        <v>6197067.5</v>
      </c>
      <c r="J13" s="62">
        <v>20</v>
      </c>
      <c r="K13" s="63">
        <f t="shared" si="3"/>
        <v>41900</v>
      </c>
      <c r="L13" s="91">
        <v>11286802</v>
      </c>
      <c r="M13" s="63">
        <f t="shared" si="4"/>
        <v>12252145</v>
      </c>
      <c r="N13" s="66">
        <f t="shared" si="5"/>
        <v>8.5528478305901004E-2</v>
      </c>
      <c r="O13" s="87">
        <f t="shared" si="6"/>
        <v>12252145</v>
      </c>
      <c r="P13" s="67">
        <f t="shared" si="7"/>
        <v>12252145</v>
      </c>
      <c r="Q13" s="68">
        <f t="shared" si="8"/>
        <v>8.5528478305901004E-2</v>
      </c>
    </row>
    <row r="14" spans="1:17" x14ac:dyDescent="0.25">
      <c r="A14" s="61" t="s">
        <v>33</v>
      </c>
      <c r="B14" s="62">
        <v>647</v>
      </c>
      <c r="C14" s="63">
        <f t="shared" si="9"/>
        <v>1355465</v>
      </c>
      <c r="D14" s="62">
        <v>572.5</v>
      </c>
      <c r="E14" s="63">
        <f t="shared" si="0"/>
        <v>1382587.5</v>
      </c>
      <c r="F14" s="64">
        <v>634.5</v>
      </c>
      <c r="G14" s="63">
        <f t="shared" si="1"/>
        <v>1735357.5</v>
      </c>
      <c r="H14" s="64">
        <v>1288.5</v>
      </c>
      <c r="I14" s="63">
        <f t="shared" si="2"/>
        <v>3936367.5</v>
      </c>
      <c r="J14" s="62">
        <v>10</v>
      </c>
      <c r="K14" s="63">
        <f t="shared" si="3"/>
        <v>20950</v>
      </c>
      <c r="L14" s="91">
        <v>7280013</v>
      </c>
      <c r="M14" s="63">
        <f t="shared" si="4"/>
        <v>8430727.5</v>
      </c>
      <c r="N14" s="66">
        <f t="shared" si="5"/>
        <v>0.15806489631268517</v>
      </c>
      <c r="O14" s="87">
        <f t="shared" si="6"/>
        <v>8008014.3000000007</v>
      </c>
      <c r="P14" s="67">
        <f t="shared" si="7"/>
        <v>8008014.3000000007</v>
      </c>
      <c r="Q14" s="68">
        <f t="shared" si="8"/>
        <v>0.1000000000000001</v>
      </c>
    </row>
    <row r="15" spans="1:17" x14ac:dyDescent="0.25">
      <c r="A15" s="61" t="s">
        <v>34</v>
      </c>
      <c r="B15" s="62">
        <v>71.5</v>
      </c>
      <c r="C15" s="63">
        <f t="shared" si="9"/>
        <v>149792.5</v>
      </c>
      <c r="D15" s="62">
        <v>98</v>
      </c>
      <c r="E15" s="63">
        <f t="shared" si="0"/>
        <v>236670</v>
      </c>
      <c r="F15" s="64">
        <v>92.5</v>
      </c>
      <c r="G15" s="63">
        <f t="shared" si="1"/>
        <v>252987.5</v>
      </c>
      <c r="H15" s="64">
        <v>193.5</v>
      </c>
      <c r="I15" s="63">
        <f t="shared" si="2"/>
        <v>591142.5</v>
      </c>
      <c r="J15" s="62">
        <v>1</v>
      </c>
      <c r="K15" s="63">
        <f t="shared" si="3"/>
        <v>2095</v>
      </c>
      <c r="L15" s="91">
        <v>1310195</v>
      </c>
      <c r="M15" s="63">
        <f t="shared" si="4"/>
        <v>1232687.5</v>
      </c>
      <c r="N15" s="66">
        <f t="shared" si="5"/>
        <v>-5.9157224687928132E-2</v>
      </c>
      <c r="O15" s="87">
        <f t="shared" si="6"/>
        <v>1270889.1499999999</v>
      </c>
      <c r="P15" s="67">
        <f t="shared" si="7"/>
        <v>1270889.1499999999</v>
      </c>
      <c r="Q15" s="68">
        <f t="shared" si="8"/>
        <v>-3.0000000000000072E-2</v>
      </c>
    </row>
    <row r="16" spans="1:17" x14ac:dyDescent="0.25">
      <c r="A16" s="69"/>
      <c r="B16" s="65"/>
      <c r="C16" s="63"/>
      <c r="D16" s="62"/>
      <c r="E16" s="63"/>
      <c r="F16" s="65"/>
      <c r="G16" s="63"/>
      <c r="H16" s="65"/>
      <c r="I16" s="63"/>
      <c r="J16" s="65"/>
      <c r="K16" s="63"/>
      <c r="L16" s="92"/>
      <c r="M16" s="63"/>
      <c r="N16" s="66"/>
      <c r="O16" s="87">
        <f t="shared" si="6"/>
        <v>0</v>
      </c>
      <c r="P16" s="67"/>
      <c r="Q16" s="68"/>
    </row>
    <row r="17" spans="1:17" x14ac:dyDescent="0.25">
      <c r="A17" s="70" t="s">
        <v>45</v>
      </c>
      <c r="B17" s="65"/>
      <c r="C17" s="63"/>
      <c r="D17" s="6"/>
      <c r="E17" s="63"/>
      <c r="F17" s="65"/>
      <c r="G17" s="63"/>
      <c r="H17" s="65"/>
      <c r="I17" s="63"/>
      <c r="J17" s="65"/>
      <c r="K17" s="63"/>
      <c r="L17" s="92"/>
      <c r="M17" s="63"/>
      <c r="N17" s="66">
        <f>AVERAGE(N18:N30)</f>
        <v>-5.1755661000079285E-2</v>
      </c>
      <c r="O17" s="87">
        <f t="shared" si="6"/>
        <v>0</v>
      </c>
      <c r="P17" s="67"/>
      <c r="Q17" s="68"/>
    </row>
    <row r="18" spans="1:17" x14ac:dyDescent="0.25">
      <c r="A18" s="61" t="s">
        <v>2</v>
      </c>
      <c r="B18" s="62">
        <v>528.5</v>
      </c>
      <c r="C18" s="63">
        <f t="shared" si="9"/>
        <v>1107207.5</v>
      </c>
      <c r="D18" s="64">
        <v>603.5</v>
      </c>
      <c r="E18" s="63">
        <f t="shared" ref="E18:E30" si="10">D18*$C$51</f>
        <v>1457452.5</v>
      </c>
      <c r="F18" s="62">
        <v>3</v>
      </c>
      <c r="G18" s="71">
        <f t="shared" ref="G18" si="11">F18*$D$51</f>
        <v>8205</v>
      </c>
      <c r="H18" s="16"/>
      <c r="I18" s="63"/>
      <c r="J18" s="72"/>
      <c r="K18" s="63"/>
      <c r="L18" s="91">
        <v>3004148</v>
      </c>
      <c r="M18" s="63">
        <f t="shared" ref="M18:M30" si="12">SUM(K18+I18+G18+E18+C18)</f>
        <v>2572865</v>
      </c>
      <c r="N18" s="66">
        <f t="shared" ref="N18:N30" si="13">(M18-L18)/L18</f>
        <v>-0.14356250091540096</v>
      </c>
      <c r="O18" s="87">
        <f t="shared" si="6"/>
        <v>2914023.56</v>
      </c>
      <c r="P18" s="67">
        <f t="shared" ref="P18:P30" si="14">IF(O18=FALSE,M18,O18)</f>
        <v>2914023.56</v>
      </c>
      <c r="Q18" s="68">
        <f t="shared" ref="Q18:Q30" si="15">(P18-L18)/L18</f>
        <v>-2.9999999999999982E-2</v>
      </c>
    </row>
    <row r="19" spans="1:17" x14ac:dyDescent="0.25">
      <c r="A19" s="61" t="s">
        <v>3</v>
      </c>
      <c r="B19" s="62">
        <v>58.5</v>
      </c>
      <c r="C19" s="63">
        <f t="shared" si="9"/>
        <v>122557.5</v>
      </c>
      <c r="D19" s="64">
        <v>145</v>
      </c>
      <c r="E19" s="63">
        <f t="shared" si="10"/>
        <v>350175</v>
      </c>
      <c r="F19" s="62"/>
      <c r="G19" s="71"/>
      <c r="H19" s="16"/>
      <c r="I19" s="63"/>
      <c r="J19" s="72"/>
      <c r="K19" s="63"/>
      <c r="L19" s="91">
        <v>476475</v>
      </c>
      <c r="M19" s="63">
        <f t="shared" si="12"/>
        <v>472732.5</v>
      </c>
      <c r="N19" s="66">
        <f t="shared" si="13"/>
        <v>-7.8545569022509046E-3</v>
      </c>
      <c r="O19" s="87">
        <f t="shared" si="6"/>
        <v>472732.5</v>
      </c>
      <c r="P19" s="67">
        <f t="shared" si="14"/>
        <v>472732.5</v>
      </c>
      <c r="Q19" s="68">
        <f t="shared" si="15"/>
        <v>-7.8545569022509046E-3</v>
      </c>
    </row>
    <row r="20" spans="1:17" x14ac:dyDescent="0.25">
      <c r="A20" s="61" t="s">
        <v>4</v>
      </c>
      <c r="B20" s="62">
        <v>737</v>
      </c>
      <c r="C20" s="63">
        <f t="shared" si="9"/>
        <v>1544015</v>
      </c>
      <c r="D20" s="64">
        <v>824.5</v>
      </c>
      <c r="E20" s="63">
        <f t="shared" si="10"/>
        <v>1991167.5</v>
      </c>
      <c r="F20" s="62"/>
      <c r="G20" s="71"/>
      <c r="H20" s="16"/>
      <c r="I20" s="63"/>
      <c r="J20" s="72"/>
      <c r="K20" s="63"/>
      <c r="L20" s="91">
        <v>3851839</v>
      </c>
      <c r="M20" s="63">
        <f t="shared" si="12"/>
        <v>3535182.5</v>
      </c>
      <c r="N20" s="66">
        <f t="shared" si="13"/>
        <v>-8.220917333253025E-2</v>
      </c>
      <c r="O20" s="87">
        <f t="shared" si="6"/>
        <v>3736283.83</v>
      </c>
      <c r="P20" s="67">
        <f t="shared" si="14"/>
        <v>3736283.83</v>
      </c>
      <c r="Q20" s="68">
        <f t="shared" si="15"/>
        <v>-2.9999999999999982E-2</v>
      </c>
    </row>
    <row r="21" spans="1:17" x14ac:dyDescent="0.25">
      <c r="A21" s="61" t="s">
        <v>5</v>
      </c>
      <c r="B21" s="62">
        <v>1169.5</v>
      </c>
      <c r="C21" s="63">
        <f t="shared" si="9"/>
        <v>2450102.5</v>
      </c>
      <c r="D21" s="64">
        <v>1049</v>
      </c>
      <c r="E21" s="63">
        <f t="shared" si="10"/>
        <v>2533335</v>
      </c>
      <c r="F21" s="62"/>
      <c r="G21" s="71"/>
      <c r="H21" s="16">
        <v>1.5</v>
      </c>
      <c r="I21" s="71">
        <f>H21*$E$51</f>
        <v>4582.5</v>
      </c>
      <c r="J21" s="72"/>
      <c r="K21" s="63"/>
      <c r="L21" s="91">
        <v>5340274</v>
      </c>
      <c r="M21" s="63">
        <f t="shared" si="12"/>
        <v>4988020</v>
      </c>
      <c r="N21" s="66">
        <f t="shared" si="13"/>
        <v>-6.5961783983368646E-2</v>
      </c>
      <c r="O21" s="87">
        <f t="shared" si="6"/>
        <v>5180065.78</v>
      </c>
      <c r="P21" s="67">
        <f t="shared" si="14"/>
        <v>5180065.78</v>
      </c>
      <c r="Q21" s="68">
        <f t="shared" si="15"/>
        <v>-2.999999999999995E-2</v>
      </c>
    </row>
    <row r="22" spans="1:17" x14ac:dyDescent="0.25">
      <c r="A22" s="61" t="s">
        <v>6</v>
      </c>
      <c r="B22" s="62">
        <v>1706</v>
      </c>
      <c r="C22" s="63">
        <f t="shared" si="9"/>
        <v>3574070</v>
      </c>
      <c r="D22" s="64">
        <v>1904.5</v>
      </c>
      <c r="E22" s="63">
        <f t="shared" si="10"/>
        <v>4599367.5</v>
      </c>
      <c r="F22" s="62"/>
      <c r="G22" s="71"/>
      <c r="H22" s="16"/>
      <c r="I22" s="71"/>
      <c r="J22" s="72">
        <v>0.5</v>
      </c>
      <c r="K22" s="63">
        <f t="shared" si="3"/>
        <v>1047.5</v>
      </c>
      <c r="L22" s="91">
        <v>8960400</v>
      </c>
      <c r="M22" s="63">
        <f t="shared" si="12"/>
        <v>8174485</v>
      </c>
      <c r="N22" s="66">
        <f t="shared" si="13"/>
        <v>-8.7709812061961517E-2</v>
      </c>
      <c r="O22" s="87">
        <f t="shared" si="6"/>
        <v>8691588</v>
      </c>
      <c r="P22" s="67">
        <f t="shared" si="14"/>
        <v>8691588</v>
      </c>
      <c r="Q22" s="68">
        <f t="shared" si="15"/>
        <v>-0.03</v>
      </c>
    </row>
    <row r="23" spans="1:17" x14ac:dyDescent="0.25">
      <c r="A23" s="61" t="s">
        <v>7</v>
      </c>
      <c r="B23" s="62">
        <v>94</v>
      </c>
      <c r="C23" s="63">
        <f t="shared" si="9"/>
        <v>196930</v>
      </c>
      <c r="D23" s="64">
        <v>150.5</v>
      </c>
      <c r="E23" s="63">
        <f t="shared" si="10"/>
        <v>363457.5</v>
      </c>
      <c r="F23" s="62"/>
      <c r="G23" s="71"/>
      <c r="H23" s="83"/>
      <c r="I23" s="71"/>
      <c r="J23" s="72"/>
      <c r="K23" s="63"/>
      <c r="L23" s="91">
        <v>534912</v>
      </c>
      <c r="M23" s="63">
        <f t="shared" si="12"/>
        <v>560387.5</v>
      </c>
      <c r="N23" s="66">
        <f t="shared" si="13"/>
        <v>4.7625590751375929E-2</v>
      </c>
      <c r="O23" s="87">
        <f t="shared" si="6"/>
        <v>560387.5</v>
      </c>
      <c r="P23" s="67">
        <f t="shared" si="14"/>
        <v>560387.5</v>
      </c>
      <c r="Q23" s="68">
        <f t="shared" si="15"/>
        <v>4.7625590751375929E-2</v>
      </c>
    </row>
    <row r="24" spans="1:17" x14ac:dyDescent="0.25">
      <c r="A24" s="61" t="s">
        <v>8</v>
      </c>
      <c r="B24" s="62">
        <v>76.5</v>
      </c>
      <c r="C24" s="63">
        <f t="shared" si="9"/>
        <v>160267.5</v>
      </c>
      <c r="D24" s="64">
        <v>151.5</v>
      </c>
      <c r="E24" s="63">
        <f t="shared" si="10"/>
        <v>365872.5</v>
      </c>
      <c r="F24" s="62"/>
      <c r="G24" s="71"/>
      <c r="H24" s="83"/>
      <c r="I24" s="71"/>
      <c r="J24" s="72"/>
      <c r="K24" s="63"/>
      <c r="L24" s="91">
        <v>657553</v>
      </c>
      <c r="M24" s="63">
        <f t="shared" si="12"/>
        <v>526140</v>
      </c>
      <c r="N24" s="66">
        <f t="shared" si="13"/>
        <v>-0.19985157089998828</v>
      </c>
      <c r="O24" s="87">
        <f t="shared" si="6"/>
        <v>637826.41</v>
      </c>
      <c r="P24" s="67">
        <f t="shared" si="14"/>
        <v>637826.41</v>
      </c>
      <c r="Q24" s="68">
        <f t="shared" si="15"/>
        <v>-2.999999999999995E-2</v>
      </c>
    </row>
    <row r="25" spans="1:17" x14ac:dyDescent="0.25">
      <c r="A25" s="61" t="s">
        <v>9</v>
      </c>
      <c r="B25" s="62">
        <v>127.5</v>
      </c>
      <c r="C25" s="63">
        <f t="shared" si="9"/>
        <v>267112.5</v>
      </c>
      <c r="D25" s="64">
        <v>227</v>
      </c>
      <c r="E25" s="63">
        <f t="shared" si="10"/>
        <v>548205</v>
      </c>
      <c r="F25" s="62"/>
      <c r="G25" s="71"/>
      <c r="H25" s="83"/>
      <c r="I25" s="71"/>
      <c r="J25" s="72"/>
      <c r="K25" s="63"/>
      <c r="L25" s="91">
        <v>866153</v>
      </c>
      <c r="M25" s="63">
        <f t="shared" si="12"/>
        <v>815317.5</v>
      </c>
      <c r="N25" s="66">
        <f t="shared" si="13"/>
        <v>-5.8691131936274538E-2</v>
      </c>
      <c r="O25" s="87">
        <f t="shared" si="6"/>
        <v>840168.41</v>
      </c>
      <c r="P25" s="67">
        <f t="shared" si="14"/>
        <v>840168.41</v>
      </c>
      <c r="Q25" s="68">
        <f t="shared" si="15"/>
        <v>-2.9999999999999961E-2</v>
      </c>
    </row>
    <row r="26" spans="1:17" x14ac:dyDescent="0.25">
      <c r="A26" s="61" t="s">
        <v>10</v>
      </c>
      <c r="B26" s="62">
        <v>146</v>
      </c>
      <c r="C26" s="63">
        <f t="shared" si="9"/>
        <v>305870</v>
      </c>
      <c r="D26" s="64">
        <v>309.5</v>
      </c>
      <c r="E26" s="63">
        <f t="shared" si="10"/>
        <v>747442.5</v>
      </c>
      <c r="F26" s="62"/>
      <c r="G26" s="71"/>
      <c r="H26" s="83"/>
      <c r="I26" s="71"/>
      <c r="J26" s="72"/>
      <c r="K26" s="63"/>
      <c r="L26" s="91">
        <v>1026685</v>
      </c>
      <c r="M26" s="63">
        <f t="shared" si="12"/>
        <v>1053312.5</v>
      </c>
      <c r="N26" s="66">
        <f t="shared" si="13"/>
        <v>2.5935413490992855E-2</v>
      </c>
      <c r="O26" s="87">
        <f t="shared" si="6"/>
        <v>1053312.5</v>
      </c>
      <c r="P26" s="67">
        <f t="shared" si="14"/>
        <v>1053312.5</v>
      </c>
      <c r="Q26" s="68">
        <f t="shared" si="15"/>
        <v>2.5935413490992855E-2</v>
      </c>
    </row>
    <row r="27" spans="1:17" x14ac:dyDescent="0.25">
      <c r="A27" s="61" t="s">
        <v>11</v>
      </c>
      <c r="B27" s="62">
        <v>1970</v>
      </c>
      <c r="C27" s="63">
        <f t="shared" si="9"/>
        <v>4127150</v>
      </c>
      <c r="D27" s="64">
        <v>2652.5</v>
      </c>
      <c r="E27" s="63">
        <f t="shared" si="10"/>
        <v>6405787.5</v>
      </c>
      <c r="F27" s="62">
        <v>2</v>
      </c>
      <c r="G27" s="71">
        <f>F27*$D$51</f>
        <v>5470</v>
      </c>
      <c r="H27" s="83">
        <v>2</v>
      </c>
      <c r="I27" s="71"/>
      <c r="J27" s="72"/>
      <c r="K27" s="63"/>
      <c r="L27" s="91">
        <v>9993071</v>
      </c>
      <c r="M27" s="63">
        <f t="shared" si="12"/>
        <v>10538407.5</v>
      </c>
      <c r="N27" s="66">
        <f t="shared" si="13"/>
        <v>5.4571462566412265E-2</v>
      </c>
      <c r="O27" s="87">
        <f t="shared" si="6"/>
        <v>10538407.5</v>
      </c>
      <c r="P27" s="67">
        <f t="shared" si="14"/>
        <v>10538407.5</v>
      </c>
      <c r="Q27" s="68">
        <f t="shared" si="15"/>
        <v>5.4571462566412265E-2</v>
      </c>
    </row>
    <row r="28" spans="1:17" x14ac:dyDescent="0.25">
      <c r="A28" s="61" t="s">
        <v>12</v>
      </c>
      <c r="B28" s="62">
        <v>869.5</v>
      </c>
      <c r="C28" s="63">
        <f t="shared" si="9"/>
        <v>1821602.5</v>
      </c>
      <c r="D28" s="64">
        <v>1000.5</v>
      </c>
      <c r="E28" s="63">
        <f t="shared" si="10"/>
        <v>2416207.5</v>
      </c>
      <c r="F28" s="62"/>
      <c r="G28" s="71"/>
      <c r="H28" s="83">
        <v>7.5</v>
      </c>
      <c r="I28" s="71">
        <f t="shared" ref="I28:I29" si="16">H28*$E$51</f>
        <v>22912.5</v>
      </c>
      <c r="J28" s="72">
        <v>1</v>
      </c>
      <c r="K28" s="63">
        <f t="shared" si="3"/>
        <v>2095</v>
      </c>
      <c r="L28" s="91">
        <v>4756617</v>
      </c>
      <c r="M28" s="63">
        <f t="shared" si="12"/>
        <v>4262817.5</v>
      </c>
      <c r="N28" s="66">
        <f t="shared" si="13"/>
        <v>-0.10381317226087364</v>
      </c>
      <c r="O28" s="87">
        <f t="shared" si="6"/>
        <v>4613918.49</v>
      </c>
      <c r="P28" s="67">
        <f t="shared" si="14"/>
        <v>4613918.49</v>
      </c>
      <c r="Q28" s="68">
        <f t="shared" si="15"/>
        <v>-2.9999999999999954E-2</v>
      </c>
    </row>
    <row r="29" spans="1:17" x14ac:dyDescent="0.25">
      <c r="A29" s="61" t="s">
        <v>13</v>
      </c>
      <c r="B29" s="62">
        <v>692.5</v>
      </c>
      <c r="C29" s="63">
        <f t="shared" si="9"/>
        <v>1450787.5</v>
      </c>
      <c r="D29" s="64">
        <v>871.5</v>
      </c>
      <c r="E29" s="63">
        <f t="shared" si="10"/>
        <v>2104672.5</v>
      </c>
      <c r="F29" s="62">
        <v>1</v>
      </c>
      <c r="G29" s="71">
        <f t="shared" ref="G29" si="17">F29*$D$51</f>
        <v>2735</v>
      </c>
      <c r="H29" s="83">
        <v>2</v>
      </c>
      <c r="I29" s="71">
        <f t="shared" si="16"/>
        <v>6110</v>
      </c>
      <c r="J29" s="72">
        <v>1</v>
      </c>
      <c r="K29" s="63">
        <f t="shared" si="3"/>
        <v>2095</v>
      </c>
      <c r="L29" s="91">
        <v>3816273</v>
      </c>
      <c r="M29" s="63">
        <f t="shared" si="12"/>
        <v>3566400</v>
      </c>
      <c r="N29" s="66">
        <f t="shared" si="13"/>
        <v>-6.5475661725458323E-2</v>
      </c>
      <c r="O29" s="87">
        <f t="shared" si="6"/>
        <v>3701784.81</v>
      </c>
      <c r="P29" s="67">
        <f t="shared" si="14"/>
        <v>3701784.81</v>
      </c>
      <c r="Q29" s="68">
        <f t="shared" si="15"/>
        <v>-2.9999999999999985E-2</v>
      </c>
    </row>
    <row r="30" spans="1:17" x14ac:dyDescent="0.25">
      <c r="A30" s="61" t="s">
        <v>14</v>
      </c>
      <c r="B30" s="62">
        <v>135.5</v>
      </c>
      <c r="C30" s="63">
        <f t="shared" si="9"/>
        <v>283872.5</v>
      </c>
      <c r="D30" s="64">
        <v>375</v>
      </c>
      <c r="E30" s="63">
        <f t="shared" si="10"/>
        <v>905625</v>
      </c>
      <c r="F30" s="62"/>
      <c r="G30" s="63"/>
      <c r="H30" s="62"/>
      <c r="I30" s="63"/>
      <c r="J30" s="72"/>
      <c r="K30" s="63"/>
      <c r="L30" s="91">
        <v>1172874</v>
      </c>
      <c r="M30" s="63">
        <f t="shared" si="12"/>
        <v>1189497.5</v>
      </c>
      <c r="N30" s="66">
        <f t="shared" si="13"/>
        <v>1.4173304208295179E-2</v>
      </c>
      <c r="O30" s="87">
        <f t="shared" si="6"/>
        <v>1189497.5</v>
      </c>
      <c r="P30" s="67">
        <f t="shared" si="14"/>
        <v>1189497.5</v>
      </c>
      <c r="Q30" s="68">
        <f t="shared" si="15"/>
        <v>1.4173304208295179E-2</v>
      </c>
    </row>
    <row r="31" spans="1:17" x14ac:dyDescent="0.25">
      <c r="A31" s="69"/>
      <c r="B31" s="65"/>
      <c r="C31" s="63"/>
      <c r="D31" s="62"/>
      <c r="E31" s="63"/>
      <c r="F31" s="65"/>
      <c r="G31" s="63"/>
      <c r="H31" s="65"/>
      <c r="I31" s="63"/>
      <c r="J31" s="65"/>
      <c r="K31" s="63"/>
      <c r="L31" s="92"/>
      <c r="M31" s="63"/>
      <c r="N31" s="66"/>
      <c r="O31" s="87">
        <f t="shared" si="6"/>
        <v>0</v>
      </c>
      <c r="P31" s="67"/>
      <c r="Q31" s="68"/>
    </row>
    <row r="32" spans="1:17" x14ac:dyDescent="0.25">
      <c r="A32" s="70" t="s">
        <v>38</v>
      </c>
      <c r="B32" s="65"/>
      <c r="C32" s="63"/>
      <c r="D32" s="62"/>
      <c r="E32" s="63"/>
      <c r="F32" s="65"/>
      <c r="G32" s="63"/>
      <c r="H32" s="65"/>
      <c r="I32" s="63"/>
      <c r="J32" s="65"/>
      <c r="K32" s="63"/>
      <c r="L32" s="92"/>
      <c r="M32" s="63"/>
      <c r="N32" s="66"/>
      <c r="O32" s="87">
        <f t="shared" si="6"/>
        <v>0</v>
      </c>
      <c r="P32" s="67"/>
      <c r="Q32" s="68"/>
    </row>
    <row r="33" spans="1:17" x14ac:dyDescent="0.25">
      <c r="A33" s="61" t="s">
        <v>1</v>
      </c>
      <c r="B33" s="62">
        <v>785.5</v>
      </c>
      <c r="C33" s="63">
        <f>B33*$B$51</f>
        <v>1645622.5</v>
      </c>
      <c r="D33" s="64">
        <v>1007</v>
      </c>
      <c r="E33" s="63">
        <f>D33*$C$51</f>
        <v>2431905</v>
      </c>
      <c r="F33" s="65"/>
      <c r="G33" s="63"/>
      <c r="H33" s="65"/>
      <c r="I33" s="63"/>
      <c r="J33" s="65"/>
      <c r="K33" s="63"/>
      <c r="L33" s="91">
        <v>3621278</v>
      </c>
      <c r="M33" s="63">
        <f>SUM(K33+I33+G33+E33+C33)</f>
        <v>4077527.5</v>
      </c>
      <c r="N33" s="66">
        <f>(M33-L33)/L33</f>
        <v>0.12599129368140197</v>
      </c>
      <c r="O33" s="87">
        <f t="shared" si="6"/>
        <v>3983405.8000000003</v>
      </c>
      <c r="P33" s="67">
        <f>IF(O33=FALSE,M33,O33)</f>
        <v>3983405.8000000003</v>
      </c>
      <c r="Q33" s="68">
        <f>(P33-L33)/L33</f>
        <v>0.10000000000000007</v>
      </c>
    </row>
    <row r="34" spans="1:17" x14ac:dyDescent="0.25">
      <c r="A34" s="61" t="s">
        <v>24</v>
      </c>
      <c r="B34" s="62">
        <v>574</v>
      </c>
      <c r="C34" s="63">
        <f>B34*$B$51</f>
        <v>1202530</v>
      </c>
      <c r="D34" s="62">
        <v>404</v>
      </c>
      <c r="E34" s="63">
        <f>D34*$C$51</f>
        <v>975660</v>
      </c>
      <c r="F34" s="65">
        <v>14</v>
      </c>
      <c r="G34" s="63">
        <f>F34*$D$51</f>
        <v>38290</v>
      </c>
      <c r="H34" s="65">
        <v>0</v>
      </c>
      <c r="I34" s="63">
        <f>H34*$E$51</f>
        <v>0</v>
      </c>
      <c r="J34" s="65"/>
      <c r="K34" s="63"/>
      <c r="L34" s="91">
        <v>2203668</v>
      </c>
      <c r="M34" s="63">
        <f>SUM(K34+I34+G34+E34+C34)</f>
        <v>2216480</v>
      </c>
      <c r="N34" s="66">
        <f>(M34-L34)/L34</f>
        <v>5.8139429351426802E-3</v>
      </c>
      <c r="O34" s="87">
        <f t="shared" si="6"/>
        <v>2216480</v>
      </c>
      <c r="P34" s="67">
        <f>IF(O34=FALSE,M34,O34)</f>
        <v>2216480</v>
      </c>
      <c r="Q34" s="68">
        <f>(P34-L34)/L34</f>
        <v>5.8139429351426802E-3</v>
      </c>
    </row>
    <row r="35" spans="1:17" x14ac:dyDescent="0.25">
      <c r="A35" s="69"/>
      <c r="B35" s="65"/>
      <c r="C35" s="63"/>
      <c r="D35" s="62"/>
      <c r="E35" s="63"/>
      <c r="F35" s="65"/>
      <c r="G35" s="63"/>
      <c r="H35" s="65"/>
      <c r="I35" s="63"/>
      <c r="J35" s="65"/>
      <c r="K35" s="63"/>
      <c r="L35" s="92"/>
      <c r="M35" s="63"/>
      <c r="N35" s="66"/>
      <c r="O35" s="87">
        <f t="shared" si="6"/>
        <v>0</v>
      </c>
      <c r="P35" s="67"/>
      <c r="Q35" s="68"/>
    </row>
    <row r="36" spans="1:17" x14ac:dyDescent="0.25">
      <c r="A36" s="70" t="s">
        <v>46</v>
      </c>
      <c r="B36" s="65"/>
      <c r="C36" s="63"/>
      <c r="D36" s="6"/>
      <c r="E36" s="63"/>
      <c r="F36" s="65"/>
      <c r="G36" s="63"/>
      <c r="H36" s="65"/>
      <c r="I36" s="63"/>
      <c r="J36" s="65"/>
      <c r="K36" s="63"/>
      <c r="L36" s="92"/>
      <c r="M36" s="63"/>
      <c r="N36" s="66"/>
      <c r="O36" s="87">
        <f t="shared" si="6"/>
        <v>0</v>
      </c>
      <c r="P36" s="67"/>
      <c r="Q36" s="68"/>
    </row>
    <row r="37" spans="1:17" x14ac:dyDescent="0.25">
      <c r="A37" s="61" t="s">
        <v>18</v>
      </c>
      <c r="B37" s="62">
        <v>186.5</v>
      </c>
      <c r="C37" s="63">
        <f>B37*$B$51</f>
        <v>390717.5</v>
      </c>
      <c r="D37" s="64">
        <v>234</v>
      </c>
      <c r="E37" s="63">
        <f>D37*$C$51</f>
        <v>565110</v>
      </c>
      <c r="F37" s="84">
        <v>218.5</v>
      </c>
      <c r="G37" s="63">
        <f>F37*$D$51</f>
        <v>597597.5</v>
      </c>
      <c r="H37" s="64">
        <v>274</v>
      </c>
      <c r="I37" s="63">
        <f>H37*$E$51</f>
        <v>837070</v>
      </c>
      <c r="J37" s="65"/>
      <c r="K37" s="63"/>
      <c r="L37" s="91">
        <v>2167621</v>
      </c>
      <c r="M37" s="63">
        <f>SUM(K37+I37+G37+E37+C37)</f>
        <v>2390495</v>
      </c>
      <c r="N37" s="66">
        <f>(M37-L37)/L37</f>
        <v>0.10281963498231471</v>
      </c>
      <c r="O37" s="87">
        <f t="shared" si="6"/>
        <v>2384383.1</v>
      </c>
      <c r="P37" s="67">
        <f>IF(O37=FALSE,M37,O37)</f>
        <v>2384383.1</v>
      </c>
      <c r="Q37" s="68">
        <f>(P37-L37)/L37</f>
        <v>0.10000000000000005</v>
      </c>
    </row>
    <row r="38" spans="1:17" x14ac:dyDescent="0.25">
      <c r="A38" s="61" t="s">
        <v>16</v>
      </c>
      <c r="B38" s="62">
        <v>12</v>
      </c>
      <c r="C38" s="63">
        <f>B38*$B$51</f>
        <v>25140</v>
      </c>
      <c r="D38" s="64">
        <v>13.5</v>
      </c>
      <c r="E38" s="63">
        <f>D38*$C$51</f>
        <v>32602.5</v>
      </c>
      <c r="F38" s="65">
        <v>13</v>
      </c>
      <c r="G38" s="63">
        <f>F38*$D$51</f>
        <v>35555</v>
      </c>
      <c r="H38" s="64">
        <v>18.5</v>
      </c>
      <c r="I38" s="63">
        <f>H38*$E$51</f>
        <v>56517.5</v>
      </c>
      <c r="J38" s="65"/>
      <c r="K38" s="63"/>
      <c r="L38" s="91">
        <v>158879</v>
      </c>
      <c r="M38" s="63">
        <f>SUM(K38+I38+G38+E38+C38)</f>
        <v>149815</v>
      </c>
      <c r="N38" s="66">
        <f>(M38-L38)/L38</f>
        <v>-5.7049704492097758E-2</v>
      </c>
      <c r="O38" s="87">
        <f t="shared" si="6"/>
        <v>154112.63</v>
      </c>
      <c r="P38" s="67">
        <f>IF(O38=FALSE,M38,O38)</f>
        <v>154112.63</v>
      </c>
      <c r="Q38" s="68">
        <f>(P38-L38)/L38</f>
        <v>-2.9999999999999971E-2</v>
      </c>
    </row>
    <row r="39" spans="1:17" x14ac:dyDescent="0.25">
      <c r="A39" s="61" t="s">
        <v>17</v>
      </c>
      <c r="B39" s="62">
        <v>30</v>
      </c>
      <c r="C39" s="63">
        <f>B39*$B$51</f>
        <v>62850</v>
      </c>
      <c r="D39" s="64">
        <v>23</v>
      </c>
      <c r="E39" s="63">
        <f>D39*$C$51</f>
        <v>55545</v>
      </c>
      <c r="F39" s="65">
        <v>35</v>
      </c>
      <c r="G39" s="63">
        <f>F39*$D$51</f>
        <v>95725</v>
      </c>
      <c r="H39" s="64">
        <v>26</v>
      </c>
      <c r="I39" s="63">
        <f>H39*$E$51</f>
        <v>79430</v>
      </c>
      <c r="J39" s="65"/>
      <c r="K39" s="63"/>
      <c r="L39" s="91">
        <v>126850</v>
      </c>
      <c r="M39" s="63">
        <f>SUM(K39+I39+G39+E39+C39)</f>
        <v>293550</v>
      </c>
      <c r="N39" s="66">
        <f>(M39-L39)/L39</f>
        <v>1.3141505715411903</v>
      </c>
      <c r="O39" s="87">
        <f t="shared" si="6"/>
        <v>139535</v>
      </c>
      <c r="P39" s="67">
        <f>IF(O39=FALSE,M39,O39)</f>
        <v>139535</v>
      </c>
      <c r="Q39" s="68">
        <f>(P39-L39)/L39</f>
        <v>0.1</v>
      </c>
    </row>
    <row r="40" spans="1:17" x14ac:dyDescent="0.25">
      <c r="A40" s="61" t="s">
        <v>19</v>
      </c>
      <c r="B40" s="62">
        <v>147.5</v>
      </c>
      <c r="C40" s="63">
        <f>B40*$B$51</f>
        <v>309012.5</v>
      </c>
      <c r="D40" s="64">
        <v>125.5</v>
      </c>
      <c r="E40" s="63">
        <f>D40*$C$51</f>
        <v>303082.5</v>
      </c>
      <c r="F40" s="84">
        <v>180.5</v>
      </c>
      <c r="G40" s="63">
        <f>F40*$D$51</f>
        <v>493667.5</v>
      </c>
      <c r="H40" s="64">
        <v>313</v>
      </c>
      <c r="I40" s="63">
        <f>H40*$E$51</f>
        <v>956215</v>
      </c>
      <c r="J40" s="84">
        <v>2.5</v>
      </c>
      <c r="K40" s="63">
        <f>J40*$B$51</f>
        <v>5237.5</v>
      </c>
      <c r="L40" s="91">
        <v>2410209</v>
      </c>
      <c r="M40" s="63">
        <f>SUM(K40+I40+G40+E40+C40)</f>
        <v>2067215</v>
      </c>
      <c r="N40" s="66">
        <f>(M40-L40)/L40</f>
        <v>-0.14230882052137386</v>
      </c>
      <c r="O40" s="87">
        <f t="shared" si="6"/>
        <v>2337902.73</v>
      </c>
      <c r="P40" s="67">
        <f>IF(O40=FALSE,M40,O40)</f>
        <v>2337902.73</v>
      </c>
      <c r="Q40" s="68">
        <f>(P40-L40)/L40</f>
        <v>-3.0000000000000009E-2</v>
      </c>
    </row>
    <row r="41" spans="1:17" x14ac:dyDescent="0.25">
      <c r="A41" s="61" t="s">
        <v>20</v>
      </c>
      <c r="B41" s="62">
        <v>48</v>
      </c>
      <c r="C41" s="63">
        <f>B41*$B$51</f>
        <v>100560</v>
      </c>
      <c r="D41" s="64">
        <v>135</v>
      </c>
      <c r="E41" s="63">
        <f>D41*$C$51</f>
        <v>326025</v>
      </c>
      <c r="F41" s="65">
        <v>125</v>
      </c>
      <c r="G41" s="63">
        <f>F41*$D$51</f>
        <v>341875</v>
      </c>
      <c r="H41" s="64">
        <v>250</v>
      </c>
      <c r="I41" s="63">
        <f>H41*$E$51</f>
        <v>763750</v>
      </c>
      <c r="J41" s="65"/>
      <c r="K41" s="63"/>
      <c r="L41" s="91">
        <v>1460713</v>
      </c>
      <c r="M41" s="63">
        <f>SUM(K41+I41+G41+E41+C41)</f>
        <v>1532210</v>
      </c>
      <c r="N41" s="66">
        <f>(M41-L41)/L41</f>
        <v>4.8946644549613783E-2</v>
      </c>
      <c r="O41" s="87">
        <f t="shared" si="6"/>
        <v>1532210</v>
      </c>
      <c r="P41" s="67">
        <f>IF(O41=FALSE,M41,O41)</f>
        <v>1532210</v>
      </c>
      <c r="Q41" s="68">
        <f>(P41-L41)/L41</f>
        <v>4.8946644549613783E-2</v>
      </c>
    </row>
    <row r="42" spans="1:17" x14ac:dyDescent="0.25">
      <c r="A42" s="69"/>
      <c r="B42" s="65"/>
      <c r="C42" s="63"/>
      <c r="D42" s="62"/>
      <c r="E42" s="63"/>
      <c r="F42" s="65"/>
      <c r="G42" s="63"/>
      <c r="H42" s="62"/>
      <c r="I42" s="63"/>
      <c r="J42" s="65"/>
      <c r="K42" s="63"/>
      <c r="L42" s="92"/>
      <c r="M42" s="63"/>
      <c r="N42" s="66"/>
      <c r="O42" s="87">
        <f t="shared" si="6"/>
        <v>0</v>
      </c>
      <c r="P42" s="67"/>
      <c r="Q42" s="68"/>
    </row>
    <row r="43" spans="1:17" x14ac:dyDescent="0.25">
      <c r="A43" s="70" t="s">
        <v>47</v>
      </c>
      <c r="B43" s="65"/>
      <c r="C43" s="63"/>
      <c r="D43" s="62"/>
      <c r="E43" s="63"/>
      <c r="F43" s="65"/>
      <c r="G43" s="63"/>
      <c r="H43" s="62"/>
      <c r="I43" s="63"/>
      <c r="J43" s="65"/>
      <c r="K43" s="63"/>
      <c r="L43" s="92"/>
      <c r="M43" s="63"/>
      <c r="N43" s="66"/>
      <c r="O43" s="87">
        <f t="shared" si="6"/>
        <v>0</v>
      </c>
      <c r="P43" s="67"/>
      <c r="Q43" s="68"/>
    </row>
    <row r="44" spans="1:17" x14ac:dyDescent="0.25">
      <c r="A44" s="61" t="s">
        <v>37</v>
      </c>
      <c r="B44" s="62">
        <v>32.5</v>
      </c>
      <c r="C44" s="63">
        <f>B44*$B$51</f>
        <v>68087.5</v>
      </c>
      <c r="D44" s="64">
        <v>24</v>
      </c>
      <c r="E44" s="63">
        <f t="shared" ref="E44:E46" si="18">D44*$C$51</f>
        <v>57960</v>
      </c>
      <c r="F44" s="65"/>
      <c r="G44" s="63"/>
      <c r="H44" s="62"/>
      <c r="I44" s="63"/>
      <c r="J44" s="65"/>
      <c r="K44" s="63"/>
      <c r="L44" s="91">
        <v>151048</v>
      </c>
      <c r="M44" s="63">
        <f>SUM(K44+I44+G44+E44+C44)</f>
        <v>126047.5</v>
      </c>
      <c r="N44" s="66">
        <f>(M44-L44)/L44</f>
        <v>-0.16551361156718394</v>
      </c>
      <c r="O44" s="87">
        <f t="shared" si="6"/>
        <v>146516.56</v>
      </c>
      <c r="P44" s="67">
        <f>IF(O44=FALSE,M44,O44)</f>
        <v>146516.56</v>
      </c>
      <c r="Q44" s="68">
        <f>(P44-L44)/L44</f>
        <v>-3.0000000000000016E-2</v>
      </c>
    </row>
    <row r="45" spans="1:17" x14ac:dyDescent="0.25">
      <c r="A45" s="61" t="s">
        <v>35</v>
      </c>
      <c r="B45" s="62">
        <v>490</v>
      </c>
      <c r="C45" s="63">
        <f>B45*$B$51</f>
        <v>1026550</v>
      </c>
      <c r="D45" s="64"/>
      <c r="E45" s="63">
        <f t="shared" si="18"/>
        <v>0</v>
      </c>
      <c r="F45" s="65"/>
      <c r="G45" s="63"/>
      <c r="H45" s="62"/>
      <c r="I45" s="63"/>
      <c r="J45" s="65"/>
      <c r="K45" s="63"/>
      <c r="L45" s="91">
        <v>717977</v>
      </c>
      <c r="M45" s="63">
        <f>SUM(K45+I45+G45+E45+C45)</f>
        <v>1026550</v>
      </c>
      <c r="N45" s="66">
        <f>(M45-L45)/L45</f>
        <v>0.42978117683435541</v>
      </c>
      <c r="O45" s="87">
        <f t="shared" si="6"/>
        <v>789774.70000000007</v>
      </c>
      <c r="P45" s="67">
        <f>IF(O45=FALSE,M45,O45)</f>
        <v>789774.70000000007</v>
      </c>
      <c r="Q45" s="68">
        <f>(P45-L45)/L45</f>
        <v>0.1000000000000001</v>
      </c>
    </row>
    <row r="46" spans="1:17" x14ac:dyDescent="0.25">
      <c r="A46" s="61" t="s">
        <v>36</v>
      </c>
      <c r="B46" s="62">
        <v>110</v>
      </c>
      <c r="C46" s="63">
        <f>B46*$B$51</f>
        <v>230450</v>
      </c>
      <c r="D46" s="73">
        <v>93.5</v>
      </c>
      <c r="E46" s="74">
        <f t="shared" si="18"/>
        <v>225802.5</v>
      </c>
      <c r="F46" s="75"/>
      <c r="G46" s="67"/>
      <c r="H46" s="73">
        <v>2</v>
      </c>
      <c r="I46" s="67">
        <f t="shared" ref="I46" si="19">H46*$E$51</f>
        <v>6110</v>
      </c>
      <c r="J46" s="65">
        <v>1</v>
      </c>
      <c r="K46" s="63">
        <f t="shared" ref="K46" si="20">J46*$B$51</f>
        <v>2095</v>
      </c>
      <c r="L46" s="91">
        <v>542250</v>
      </c>
      <c r="M46" s="63">
        <f>SUM(K46+I46+G46+E46+C46)</f>
        <v>464457.5</v>
      </c>
      <c r="N46" s="66">
        <f>(M46-L46)/L46</f>
        <v>-0.14346242508068235</v>
      </c>
      <c r="O46" s="87">
        <f t="shared" si="6"/>
        <v>525982.5</v>
      </c>
      <c r="P46" s="67">
        <f>IF(O46=FALSE,M46,O46)</f>
        <v>525982.5</v>
      </c>
      <c r="Q46" s="68">
        <f>(P46-L46)/L46</f>
        <v>-0.03</v>
      </c>
    </row>
    <row r="47" spans="1:17" ht="18.75" x14ac:dyDescent="0.3">
      <c r="A47" s="76" t="s">
        <v>48</v>
      </c>
      <c r="B47" s="77">
        <f>SUM(B4:B46)</f>
        <v>17117.5</v>
      </c>
      <c r="C47" s="78">
        <f>SUM(C4:C46)</f>
        <v>35861162.5</v>
      </c>
      <c r="D47" s="77">
        <f>SUM(D4:D46)</f>
        <v>18981.5</v>
      </c>
      <c r="E47" s="78">
        <f>SUM(E4:E46)</f>
        <v>45840322.5</v>
      </c>
      <c r="F47" s="79">
        <f>SUM(F4:F41)</f>
        <v>8118</v>
      </c>
      <c r="G47" s="78">
        <f>SUM(G4:G41)</f>
        <v>22202730</v>
      </c>
      <c r="H47" s="77">
        <f>SUM(H4:H41)</f>
        <v>15466</v>
      </c>
      <c r="I47" s="78">
        <f>SUM(I4:I46)</f>
        <v>47248630</v>
      </c>
      <c r="J47" s="79">
        <f>SUM(J4:J41)</f>
        <v>174.5</v>
      </c>
      <c r="K47" s="78">
        <f>SUM(K4:K46)</f>
        <v>367672.5</v>
      </c>
      <c r="L47" s="93">
        <f>SUM(L4:L46)</f>
        <v>149735303</v>
      </c>
      <c r="M47" s="78">
        <f>SUM(K47+I47+G47+E47+C47)</f>
        <v>151520517.5</v>
      </c>
      <c r="N47" s="80">
        <f>(M47-L47)/L47</f>
        <v>1.1922468945082377E-2</v>
      </c>
      <c r="O47" s="88">
        <f>SUM(O4:O46)</f>
        <v>153317952.33999997</v>
      </c>
      <c r="P47" s="81">
        <f>SUM(P4:P46)</f>
        <v>153317952.33999997</v>
      </c>
      <c r="Q47" s="82">
        <f>(P47-L47)/L47</f>
        <v>2.392655084152048E-2</v>
      </c>
    </row>
    <row r="48" spans="1:17" x14ac:dyDescent="0.25">
      <c r="A48" s="1"/>
      <c r="M48" s="3"/>
    </row>
    <row r="49" spans="1:16" x14ac:dyDescent="0.25">
      <c r="L49" s="7"/>
      <c r="P49" s="8">
        <v>167738379.41048533</v>
      </c>
    </row>
    <row r="50" spans="1:16" x14ac:dyDescent="0.25">
      <c r="A50" s="1" t="s">
        <v>55</v>
      </c>
      <c r="B50" t="s">
        <v>49</v>
      </c>
      <c r="C50" t="s">
        <v>50</v>
      </c>
      <c r="D50" t="s">
        <v>51</v>
      </c>
      <c r="E50" t="s">
        <v>52</v>
      </c>
      <c r="K50" s="11"/>
      <c r="L50" s="9"/>
      <c r="M50" s="9"/>
      <c r="N50" s="12"/>
      <c r="O50" s="9"/>
      <c r="P50" s="5" t="s">
        <v>54</v>
      </c>
    </row>
    <row r="51" spans="1:16" x14ac:dyDescent="0.25">
      <c r="A51">
        <v>320</v>
      </c>
      <c r="B51" s="2">
        <v>2095</v>
      </c>
      <c r="C51" s="2">
        <f>B51+A51</f>
        <v>2415</v>
      </c>
      <c r="D51" s="2">
        <f>C51+A51</f>
        <v>2735</v>
      </c>
      <c r="E51" s="2">
        <f>D51+A51</f>
        <v>3055</v>
      </c>
      <c r="K51" s="9"/>
      <c r="L51" s="12"/>
      <c r="M51" s="12"/>
      <c r="N51" s="12"/>
    </row>
    <row r="52" spans="1:16" x14ac:dyDescent="0.25">
      <c r="K52" s="9"/>
      <c r="L52" s="9"/>
      <c r="M52" s="9"/>
      <c r="N52" s="12"/>
      <c r="O52" s="9"/>
    </row>
    <row r="53" spans="1:16" x14ac:dyDescent="0.25">
      <c r="K53" s="9"/>
      <c r="L53" s="9"/>
      <c r="M53" s="9"/>
      <c r="N53" s="12"/>
      <c r="O53" s="9"/>
    </row>
    <row r="54" spans="1:16" x14ac:dyDescent="0.25">
      <c r="K54" s="9"/>
      <c r="L54" s="9"/>
      <c r="M54" s="9"/>
      <c r="N54" s="12"/>
      <c r="O54" s="9"/>
    </row>
    <row r="55" spans="1:16" x14ac:dyDescent="0.25">
      <c r="A55" s="9" t="s">
        <v>56</v>
      </c>
      <c r="B55" s="12">
        <f>P49-P47</f>
        <v>14420427.070485353</v>
      </c>
      <c r="K55" s="9"/>
      <c r="L55" s="12"/>
      <c r="M55" s="9"/>
      <c r="N55" s="12"/>
      <c r="O55" s="9"/>
    </row>
    <row r="56" spans="1:16" x14ac:dyDescent="0.25">
      <c r="B56" s="4"/>
      <c r="K56" s="9"/>
      <c r="L56" s="14"/>
      <c r="M56" s="9"/>
      <c r="N56" s="12"/>
      <c r="O56" s="9"/>
    </row>
    <row r="57" spans="1:16" x14ac:dyDescent="0.25">
      <c r="K57" s="9"/>
      <c r="L57" s="9"/>
      <c r="M57" s="9"/>
      <c r="N57" s="12"/>
      <c r="O57" s="9"/>
    </row>
    <row r="58" spans="1:16" x14ac:dyDescent="0.25">
      <c r="A58" t="s">
        <v>53</v>
      </c>
      <c r="K58" s="9"/>
      <c r="L58" s="9"/>
      <c r="M58" s="9"/>
      <c r="N58" s="12"/>
      <c r="O58" s="9"/>
    </row>
    <row r="59" spans="1:16" x14ac:dyDescent="0.25">
      <c r="A59" s="9"/>
      <c r="B59" s="9" t="s">
        <v>49</v>
      </c>
      <c r="C59" s="9" t="s">
        <v>50</v>
      </c>
      <c r="D59" s="9" t="s">
        <v>51</v>
      </c>
      <c r="E59" s="9" t="s">
        <v>52</v>
      </c>
      <c r="K59" s="9"/>
      <c r="L59" s="9"/>
      <c r="M59" s="9"/>
      <c r="N59" s="12"/>
      <c r="O59" s="9"/>
    </row>
    <row r="60" spans="1:16" x14ac:dyDescent="0.25">
      <c r="A60" s="9">
        <v>399</v>
      </c>
      <c r="B60" s="12">
        <v>2250</v>
      </c>
      <c r="C60" s="12">
        <v>2649</v>
      </c>
      <c r="D60" s="12">
        <v>3048</v>
      </c>
      <c r="E60" s="12">
        <v>3447</v>
      </c>
      <c r="K60" s="9"/>
      <c r="L60" s="12"/>
      <c r="M60" s="12"/>
      <c r="N60" s="12"/>
    </row>
    <row r="61" spans="1:16" x14ac:dyDescent="0.25">
      <c r="K61" s="9"/>
      <c r="L61" s="9"/>
      <c r="M61" s="9"/>
      <c r="N61" s="12"/>
      <c r="O61" s="9"/>
    </row>
  </sheetData>
  <pageMargins left="0.25" right="0.25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F5D2-131D-42A5-88F9-FEA328C5443C}">
  <dimension ref="A1:Q61"/>
  <sheetViews>
    <sheetView zoomScale="80" zoomScaleNormal="80" zoomScaleSheetLayoutView="70" workbookViewId="0">
      <selection activeCell="G17" sqref="G17"/>
    </sheetView>
  </sheetViews>
  <sheetFormatPr defaultRowHeight="15" x14ac:dyDescent="0.25"/>
  <cols>
    <col min="1" max="1" width="39.42578125" style="9" customWidth="1"/>
    <col min="2" max="2" width="14.7109375" style="9" customWidth="1"/>
    <col min="3" max="3" width="15.7109375" style="9" customWidth="1"/>
    <col min="4" max="4" width="11.5703125" style="9" customWidth="1"/>
    <col min="5" max="5" width="15.5703125" style="9" customWidth="1"/>
    <col min="6" max="6" width="9.140625" style="9" customWidth="1"/>
    <col min="7" max="7" width="15.7109375" style="9" customWidth="1"/>
    <col min="8" max="8" width="9.140625" style="9" customWidth="1"/>
    <col min="9" max="9" width="15.7109375" style="9" customWidth="1"/>
    <col min="10" max="10" width="16" style="9" customWidth="1"/>
    <col min="11" max="11" width="16.42578125" style="9" customWidth="1"/>
    <col min="12" max="13" width="21" style="9" customWidth="1"/>
    <col min="14" max="14" width="12.140625" style="9" customWidth="1"/>
    <col min="15" max="15" width="20.85546875" style="12" customWidth="1"/>
    <col min="16" max="16" width="21" style="10" hidden="1" customWidth="1"/>
    <col min="17" max="17" width="13.5703125" style="9" customWidth="1"/>
    <col min="18" max="16384" width="9.140625" style="9"/>
  </cols>
  <sheetData>
    <row r="1" spans="1:17" x14ac:dyDescent="0.25">
      <c r="A1" s="51" t="s">
        <v>74</v>
      </c>
    </row>
    <row r="2" spans="1:17" ht="60" x14ac:dyDescent="0.25">
      <c r="A2" s="52"/>
      <c r="B2" s="53" t="s">
        <v>39</v>
      </c>
      <c r="C2" s="53"/>
      <c r="D2" s="53" t="s">
        <v>40</v>
      </c>
      <c r="E2" s="53"/>
      <c r="F2" s="53" t="s">
        <v>41</v>
      </c>
      <c r="G2" s="53"/>
      <c r="H2" s="53" t="s">
        <v>42</v>
      </c>
      <c r="I2" s="53"/>
      <c r="J2" s="53" t="s">
        <v>43</v>
      </c>
      <c r="K2" s="53"/>
      <c r="L2" s="89" t="s">
        <v>89</v>
      </c>
      <c r="M2" s="54" t="s">
        <v>69</v>
      </c>
      <c r="N2" s="54" t="s">
        <v>90</v>
      </c>
      <c r="O2" s="85" t="s">
        <v>82</v>
      </c>
      <c r="P2" s="55" t="str">
        <f>"FY 2020-21 
with "&amp;O2</f>
        <v>FY 2020-21 
with Guardrail Allocation
(-1%, 15%)</v>
      </c>
      <c r="Q2" s="54" t="s">
        <v>90</v>
      </c>
    </row>
    <row r="3" spans="1:17" x14ac:dyDescent="0.25">
      <c r="A3" s="56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90"/>
      <c r="M3" s="57"/>
      <c r="N3" s="58">
        <f>AVERAGE(N4:N15)</f>
        <v>-4.374351817491017E-3</v>
      </c>
      <c r="O3" s="86"/>
      <c r="P3" s="59"/>
      <c r="Q3" s="60"/>
    </row>
    <row r="4" spans="1:17" x14ac:dyDescent="0.25">
      <c r="A4" s="61" t="s">
        <v>22</v>
      </c>
      <c r="B4" s="62">
        <v>207.5</v>
      </c>
      <c r="C4" s="63">
        <f>B4*$B$51</f>
        <v>413962.5</v>
      </c>
      <c r="D4" s="62">
        <v>174.5</v>
      </c>
      <c r="E4" s="63">
        <f t="shared" ref="E4:E15" si="0">D4*$C$51</f>
        <v>409202.5</v>
      </c>
      <c r="F4" s="64">
        <v>125.5</v>
      </c>
      <c r="G4" s="63">
        <f t="shared" ref="G4:G15" si="1">F4*$D$51</f>
        <v>338222.5</v>
      </c>
      <c r="H4" s="64">
        <v>263.5</v>
      </c>
      <c r="I4" s="63">
        <f t="shared" ref="I4:I15" si="2">H4*$E$51</f>
        <v>802357.5</v>
      </c>
      <c r="J4" s="65">
        <v>7.5</v>
      </c>
      <c r="K4" s="63">
        <f t="shared" ref="K4:K15" si="3">J4*$B$51</f>
        <v>14962.5</v>
      </c>
      <c r="L4" s="91">
        <v>2259818</v>
      </c>
      <c r="M4" s="63">
        <f t="shared" ref="M4:M15" si="4">SUM(K4+I4+G4+E4+C4)</f>
        <v>1978707.5</v>
      </c>
      <c r="N4" s="66">
        <f t="shared" ref="N4:N15" si="5">(M4-L4)/L4</f>
        <v>-0.12439519465726886</v>
      </c>
      <c r="O4" s="87">
        <f t="shared" ref="O4:O46" si="6">IF(N4&lt;-0.01,L4*0.99,IF(N4&gt;0.15,L4*1.15,M4))</f>
        <v>2237219.8199999998</v>
      </c>
      <c r="P4" s="67">
        <f t="shared" ref="P4:P15" si="7">IF(O4=FALSE,M4,O4)</f>
        <v>2237219.8199999998</v>
      </c>
      <c r="Q4" s="68">
        <f t="shared" ref="Q4:Q15" si="8">(P4-L4)/L4</f>
        <v>-1.0000000000000075E-2</v>
      </c>
    </row>
    <row r="5" spans="1:17" x14ac:dyDescent="0.25">
      <c r="A5" s="61" t="s">
        <v>23</v>
      </c>
      <c r="B5" s="62">
        <v>588</v>
      </c>
      <c r="C5" s="63">
        <f t="shared" ref="C5:C30" si="9">B5*$B$51</f>
        <v>1173060</v>
      </c>
      <c r="D5" s="62">
        <v>759.5</v>
      </c>
      <c r="E5" s="63">
        <f t="shared" si="0"/>
        <v>1781027.5</v>
      </c>
      <c r="F5" s="64">
        <v>574</v>
      </c>
      <c r="G5" s="63">
        <f t="shared" si="1"/>
        <v>1546930</v>
      </c>
      <c r="H5" s="64">
        <v>1157</v>
      </c>
      <c r="I5" s="63">
        <f t="shared" si="2"/>
        <v>3523065</v>
      </c>
      <c r="J5" s="65">
        <v>23</v>
      </c>
      <c r="K5" s="63">
        <f t="shared" si="3"/>
        <v>45885</v>
      </c>
      <c r="L5" s="91">
        <v>8358127</v>
      </c>
      <c r="M5" s="63">
        <f t="shared" si="4"/>
        <v>8069967.5</v>
      </c>
      <c r="N5" s="66">
        <f t="shared" si="5"/>
        <v>-3.4476563947879707E-2</v>
      </c>
      <c r="O5" s="87">
        <f t="shared" si="6"/>
        <v>8274545.7299999995</v>
      </c>
      <c r="P5" s="67">
        <f t="shared" si="7"/>
        <v>8274545.7299999995</v>
      </c>
      <c r="Q5" s="68">
        <f t="shared" si="8"/>
        <v>-1.0000000000000057E-2</v>
      </c>
    </row>
    <row r="6" spans="1:17" x14ac:dyDescent="0.25">
      <c r="A6" s="61" t="s">
        <v>25</v>
      </c>
      <c r="B6" s="62">
        <v>98.5</v>
      </c>
      <c r="C6" s="63">
        <f t="shared" si="9"/>
        <v>196507.5</v>
      </c>
      <c r="D6" s="62">
        <v>129.5</v>
      </c>
      <c r="E6" s="63">
        <f t="shared" si="0"/>
        <v>303677.5</v>
      </c>
      <c r="F6" s="64">
        <v>132.5</v>
      </c>
      <c r="G6" s="63">
        <f t="shared" si="1"/>
        <v>357087.5</v>
      </c>
      <c r="H6" s="64">
        <v>238.5</v>
      </c>
      <c r="I6" s="63">
        <f t="shared" si="2"/>
        <v>726232.5</v>
      </c>
      <c r="J6" s="65">
        <v>5.5</v>
      </c>
      <c r="K6" s="63">
        <f t="shared" si="3"/>
        <v>10972.5</v>
      </c>
      <c r="L6" s="91">
        <v>1618343</v>
      </c>
      <c r="M6" s="63">
        <f t="shared" si="4"/>
        <v>1594477.5</v>
      </c>
      <c r="N6" s="66">
        <f t="shared" si="5"/>
        <v>-1.4746873808580752E-2</v>
      </c>
      <c r="O6" s="87">
        <f t="shared" si="6"/>
        <v>1602159.57</v>
      </c>
      <c r="P6" s="67">
        <f t="shared" si="7"/>
        <v>1602159.57</v>
      </c>
      <c r="Q6" s="68">
        <f t="shared" si="8"/>
        <v>-9.9999999999999603E-3</v>
      </c>
    </row>
    <row r="7" spans="1:17" x14ac:dyDescent="0.25">
      <c r="A7" s="61" t="s">
        <v>26</v>
      </c>
      <c r="B7" s="62">
        <v>1176.5</v>
      </c>
      <c r="C7" s="63">
        <f t="shared" si="9"/>
        <v>2347117.5</v>
      </c>
      <c r="D7" s="62">
        <v>1033</v>
      </c>
      <c r="E7" s="63">
        <f t="shared" si="0"/>
        <v>2422385</v>
      </c>
      <c r="F7" s="64">
        <v>1241.5</v>
      </c>
      <c r="G7" s="63">
        <f t="shared" si="1"/>
        <v>3345842.5</v>
      </c>
      <c r="H7" s="64">
        <v>1680.5</v>
      </c>
      <c r="I7" s="63">
        <f t="shared" si="2"/>
        <v>5117122.5</v>
      </c>
      <c r="J7" s="65">
        <v>15</v>
      </c>
      <c r="K7" s="63">
        <f t="shared" si="3"/>
        <v>29925</v>
      </c>
      <c r="L7" s="91">
        <v>13125938</v>
      </c>
      <c r="M7" s="63">
        <f t="shared" si="4"/>
        <v>13262392.5</v>
      </c>
      <c r="N7" s="66">
        <f t="shared" si="5"/>
        <v>1.0395790380847449E-2</v>
      </c>
      <c r="O7" s="87">
        <f t="shared" si="6"/>
        <v>13262392.5</v>
      </c>
      <c r="P7" s="67">
        <f t="shared" si="7"/>
        <v>13262392.5</v>
      </c>
      <c r="Q7" s="68">
        <f t="shared" si="8"/>
        <v>1.0395790380847449E-2</v>
      </c>
    </row>
    <row r="8" spans="1:17" x14ac:dyDescent="0.25">
      <c r="A8" s="61" t="s">
        <v>27</v>
      </c>
      <c r="B8" s="62">
        <v>298.5</v>
      </c>
      <c r="C8" s="63">
        <f t="shared" si="9"/>
        <v>595507.5</v>
      </c>
      <c r="D8" s="62">
        <v>336.5</v>
      </c>
      <c r="E8" s="63">
        <f t="shared" si="0"/>
        <v>789092.5</v>
      </c>
      <c r="F8" s="64">
        <v>356</v>
      </c>
      <c r="G8" s="63">
        <f t="shared" si="1"/>
        <v>959420</v>
      </c>
      <c r="H8" s="64">
        <v>687</v>
      </c>
      <c r="I8" s="63">
        <f t="shared" si="2"/>
        <v>2091915</v>
      </c>
      <c r="J8" s="65">
        <v>13</v>
      </c>
      <c r="K8" s="63">
        <f t="shared" si="3"/>
        <v>25935</v>
      </c>
      <c r="L8" s="91">
        <v>4579037</v>
      </c>
      <c r="M8" s="63">
        <f t="shared" si="4"/>
        <v>4461870</v>
      </c>
      <c r="N8" s="66">
        <f t="shared" si="5"/>
        <v>-2.55876945305312E-2</v>
      </c>
      <c r="O8" s="87">
        <f t="shared" si="6"/>
        <v>4533246.63</v>
      </c>
      <c r="P8" s="67">
        <f t="shared" si="7"/>
        <v>4533246.63</v>
      </c>
      <c r="Q8" s="68">
        <f t="shared" si="8"/>
        <v>-1.0000000000000024E-2</v>
      </c>
    </row>
    <row r="9" spans="1:17" x14ac:dyDescent="0.25">
      <c r="A9" s="61" t="s">
        <v>28</v>
      </c>
      <c r="B9" s="62">
        <v>64.5</v>
      </c>
      <c r="C9" s="63">
        <f t="shared" si="9"/>
        <v>128677.5</v>
      </c>
      <c r="D9" s="62">
        <v>97.5</v>
      </c>
      <c r="E9" s="63">
        <f t="shared" si="0"/>
        <v>228637.5</v>
      </c>
      <c r="F9" s="64">
        <v>110.5</v>
      </c>
      <c r="G9" s="63">
        <f t="shared" si="1"/>
        <v>297797.5</v>
      </c>
      <c r="H9" s="64">
        <v>212</v>
      </c>
      <c r="I9" s="63">
        <f t="shared" si="2"/>
        <v>645540</v>
      </c>
      <c r="J9" s="65">
        <v>2</v>
      </c>
      <c r="K9" s="63">
        <f t="shared" si="3"/>
        <v>3990</v>
      </c>
      <c r="L9" s="91">
        <v>1497559</v>
      </c>
      <c r="M9" s="63">
        <f t="shared" si="4"/>
        <v>1304642.5</v>
      </c>
      <c r="N9" s="66">
        <f t="shared" si="5"/>
        <v>-0.12882063411191144</v>
      </c>
      <c r="O9" s="87">
        <f t="shared" si="6"/>
        <v>1482583.41</v>
      </c>
      <c r="P9" s="67">
        <f t="shared" si="7"/>
        <v>1482583.41</v>
      </c>
      <c r="Q9" s="68">
        <f t="shared" si="8"/>
        <v>-1.0000000000000056E-2</v>
      </c>
    </row>
    <row r="10" spans="1:17" x14ac:dyDescent="0.25">
      <c r="A10" s="61" t="s">
        <v>29</v>
      </c>
      <c r="B10" s="62">
        <v>1454</v>
      </c>
      <c r="C10" s="63">
        <f t="shared" si="9"/>
        <v>2900730</v>
      </c>
      <c r="D10" s="62">
        <v>1421</v>
      </c>
      <c r="E10" s="63">
        <f t="shared" si="0"/>
        <v>3332245</v>
      </c>
      <c r="F10" s="64">
        <v>1629.5</v>
      </c>
      <c r="G10" s="63">
        <f t="shared" si="1"/>
        <v>4391502.5</v>
      </c>
      <c r="H10" s="64">
        <v>3412.5</v>
      </c>
      <c r="I10" s="63">
        <f t="shared" si="2"/>
        <v>10391062.5</v>
      </c>
      <c r="J10" s="62">
        <v>24.5</v>
      </c>
      <c r="K10" s="63">
        <f t="shared" si="3"/>
        <v>48877.5</v>
      </c>
      <c r="L10" s="91">
        <v>20913437</v>
      </c>
      <c r="M10" s="63">
        <f t="shared" si="4"/>
        <v>21064417.5</v>
      </c>
      <c r="N10" s="66">
        <f t="shared" si="5"/>
        <v>7.2193059419166728E-3</v>
      </c>
      <c r="O10" s="87">
        <f t="shared" si="6"/>
        <v>21064417.5</v>
      </c>
      <c r="P10" s="67">
        <f t="shared" si="7"/>
        <v>21064417.5</v>
      </c>
      <c r="Q10" s="68">
        <f t="shared" si="8"/>
        <v>7.2193059419166728E-3</v>
      </c>
    </row>
    <row r="11" spans="1:17" x14ac:dyDescent="0.25">
      <c r="A11" s="61" t="s">
        <v>30</v>
      </c>
      <c r="B11" s="62">
        <v>583.5</v>
      </c>
      <c r="C11" s="63">
        <f t="shared" si="9"/>
        <v>1164082.5</v>
      </c>
      <c r="D11" s="62">
        <v>819</v>
      </c>
      <c r="E11" s="63">
        <f t="shared" si="0"/>
        <v>1920555</v>
      </c>
      <c r="F11" s="64">
        <v>898</v>
      </c>
      <c r="G11" s="63">
        <f t="shared" si="1"/>
        <v>2420110</v>
      </c>
      <c r="H11" s="64">
        <v>1986.5</v>
      </c>
      <c r="I11" s="63">
        <f t="shared" si="2"/>
        <v>6048892.5</v>
      </c>
      <c r="J11" s="65">
        <v>13.5</v>
      </c>
      <c r="K11" s="63">
        <f t="shared" si="3"/>
        <v>26932.5</v>
      </c>
      <c r="L11" s="91">
        <v>10546316</v>
      </c>
      <c r="M11" s="63">
        <f t="shared" si="4"/>
        <v>11580572.5</v>
      </c>
      <c r="N11" s="66">
        <f t="shared" si="5"/>
        <v>9.8068036269726794E-2</v>
      </c>
      <c r="O11" s="87">
        <f t="shared" si="6"/>
        <v>11580572.5</v>
      </c>
      <c r="P11" s="67">
        <f t="shared" si="7"/>
        <v>11580572.5</v>
      </c>
      <c r="Q11" s="68">
        <f t="shared" si="8"/>
        <v>9.8068036269726794E-2</v>
      </c>
    </row>
    <row r="12" spans="1:17" x14ac:dyDescent="0.25">
      <c r="A12" s="61" t="s">
        <v>31</v>
      </c>
      <c r="B12" s="62">
        <v>587.5</v>
      </c>
      <c r="C12" s="63">
        <f t="shared" si="9"/>
        <v>1172062.5</v>
      </c>
      <c r="D12" s="62">
        <v>620</v>
      </c>
      <c r="E12" s="63">
        <f t="shared" si="0"/>
        <v>1453900</v>
      </c>
      <c r="F12" s="64">
        <v>677</v>
      </c>
      <c r="G12" s="63">
        <f t="shared" si="1"/>
        <v>1824515</v>
      </c>
      <c r="H12" s="64">
        <v>1562</v>
      </c>
      <c r="I12" s="63">
        <f t="shared" si="2"/>
        <v>4756290</v>
      </c>
      <c r="J12" s="65">
        <v>29.5</v>
      </c>
      <c r="K12" s="63">
        <f t="shared" si="3"/>
        <v>58852.5</v>
      </c>
      <c r="L12" s="91">
        <v>8941951</v>
      </c>
      <c r="M12" s="63">
        <f t="shared" si="4"/>
        <v>9265620</v>
      </c>
      <c r="N12" s="66">
        <f t="shared" si="5"/>
        <v>3.6196686830424367E-2</v>
      </c>
      <c r="O12" s="87">
        <f t="shared" si="6"/>
        <v>9265620</v>
      </c>
      <c r="P12" s="67">
        <f t="shared" si="7"/>
        <v>9265620</v>
      </c>
      <c r="Q12" s="68">
        <f t="shared" si="8"/>
        <v>3.6196686830424367E-2</v>
      </c>
    </row>
    <row r="13" spans="1:17" x14ac:dyDescent="0.25">
      <c r="A13" s="61" t="s">
        <v>32</v>
      </c>
      <c r="B13" s="62">
        <v>613.5</v>
      </c>
      <c r="C13" s="63">
        <f t="shared" si="9"/>
        <v>1223932.5</v>
      </c>
      <c r="D13" s="62">
        <v>729.5</v>
      </c>
      <c r="E13" s="63">
        <f t="shared" si="0"/>
        <v>1710677.5</v>
      </c>
      <c r="F13" s="64">
        <v>1063.5</v>
      </c>
      <c r="G13" s="63">
        <f t="shared" si="1"/>
        <v>2866132.5</v>
      </c>
      <c r="H13" s="64">
        <v>2048.5</v>
      </c>
      <c r="I13" s="63">
        <f t="shared" si="2"/>
        <v>6237682.5</v>
      </c>
      <c r="J13" s="65">
        <v>9.5</v>
      </c>
      <c r="K13" s="63">
        <f t="shared" si="3"/>
        <v>18952.5</v>
      </c>
      <c r="L13" s="91">
        <v>11286802</v>
      </c>
      <c r="M13" s="63">
        <f t="shared" si="4"/>
        <v>12057377.5</v>
      </c>
      <c r="N13" s="66">
        <f t="shared" si="5"/>
        <v>6.8272261708852519E-2</v>
      </c>
      <c r="O13" s="87">
        <f t="shared" si="6"/>
        <v>12057377.5</v>
      </c>
      <c r="P13" s="67">
        <f t="shared" si="7"/>
        <v>12057377.5</v>
      </c>
      <c r="Q13" s="68">
        <f t="shared" si="8"/>
        <v>6.8272261708852519E-2</v>
      </c>
    </row>
    <row r="14" spans="1:17" x14ac:dyDescent="0.25">
      <c r="A14" s="61" t="s">
        <v>33</v>
      </c>
      <c r="B14" s="62">
        <v>647</v>
      </c>
      <c r="C14" s="63">
        <f t="shared" si="9"/>
        <v>1290765</v>
      </c>
      <c r="D14" s="62">
        <v>527</v>
      </c>
      <c r="E14" s="63">
        <f t="shared" si="0"/>
        <v>1235815</v>
      </c>
      <c r="F14" s="64">
        <v>635.5</v>
      </c>
      <c r="G14" s="63">
        <f t="shared" si="1"/>
        <v>1712672.5</v>
      </c>
      <c r="H14" s="64">
        <v>1298.5</v>
      </c>
      <c r="I14" s="63">
        <f t="shared" si="2"/>
        <v>3953932.5</v>
      </c>
      <c r="J14" s="65">
        <v>3</v>
      </c>
      <c r="K14" s="63">
        <f t="shared" si="3"/>
        <v>5985</v>
      </c>
      <c r="L14" s="91">
        <v>7280013</v>
      </c>
      <c r="M14" s="63">
        <f t="shared" si="4"/>
        <v>8199170</v>
      </c>
      <c r="N14" s="66">
        <f t="shared" si="5"/>
        <v>0.12625760421032214</v>
      </c>
      <c r="O14" s="87">
        <f t="shared" si="6"/>
        <v>8199170</v>
      </c>
      <c r="P14" s="67">
        <f t="shared" si="7"/>
        <v>8199170</v>
      </c>
      <c r="Q14" s="68">
        <f t="shared" si="8"/>
        <v>0.12625760421032214</v>
      </c>
    </row>
    <row r="15" spans="1:17" x14ac:dyDescent="0.25">
      <c r="A15" s="61" t="s">
        <v>34</v>
      </c>
      <c r="B15" s="62">
        <v>71.5</v>
      </c>
      <c r="C15" s="63">
        <f t="shared" si="9"/>
        <v>142642.5</v>
      </c>
      <c r="D15" s="62">
        <v>99</v>
      </c>
      <c r="E15" s="63">
        <f t="shared" si="0"/>
        <v>232155</v>
      </c>
      <c r="F15" s="64">
        <v>92.5</v>
      </c>
      <c r="G15" s="63">
        <f t="shared" si="1"/>
        <v>249287.5</v>
      </c>
      <c r="H15" s="64">
        <v>194.5</v>
      </c>
      <c r="I15" s="63">
        <f t="shared" si="2"/>
        <v>592252.5</v>
      </c>
      <c r="J15" s="65">
        <v>0.5</v>
      </c>
      <c r="K15" s="63">
        <f t="shared" si="3"/>
        <v>997.5</v>
      </c>
      <c r="L15" s="91">
        <v>1310195</v>
      </c>
      <c r="M15" s="63">
        <f t="shared" si="4"/>
        <v>1217335</v>
      </c>
      <c r="N15" s="66">
        <f t="shared" si="5"/>
        <v>-7.087494609581016E-2</v>
      </c>
      <c r="O15" s="87">
        <f t="shared" si="6"/>
        <v>1297093.05</v>
      </c>
      <c r="P15" s="67">
        <f t="shared" si="7"/>
        <v>1297093.05</v>
      </c>
      <c r="Q15" s="68">
        <f t="shared" si="8"/>
        <v>-9.9999999999999638E-3</v>
      </c>
    </row>
    <row r="16" spans="1:17" x14ac:dyDescent="0.25">
      <c r="A16" s="69"/>
      <c r="B16" s="65"/>
      <c r="C16" s="63"/>
      <c r="D16" s="62"/>
      <c r="E16" s="63"/>
      <c r="F16" s="65"/>
      <c r="G16" s="63"/>
      <c r="H16" s="65"/>
      <c r="I16" s="63"/>
      <c r="J16" s="65"/>
      <c r="K16" s="63"/>
      <c r="L16" s="92"/>
      <c r="M16" s="63"/>
      <c r="N16" s="66"/>
      <c r="O16" s="87">
        <f t="shared" si="6"/>
        <v>0</v>
      </c>
      <c r="P16" s="67"/>
      <c r="Q16" s="68"/>
    </row>
    <row r="17" spans="1:17" x14ac:dyDescent="0.25">
      <c r="A17" s="70" t="s">
        <v>45</v>
      </c>
      <c r="B17" s="65"/>
      <c r="C17" s="63"/>
      <c r="D17" s="6"/>
      <c r="E17" s="63"/>
      <c r="F17" s="65"/>
      <c r="G17" s="63"/>
      <c r="H17" s="65"/>
      <c r="I17" s="63"/>
      <c r="J17" s="65"/>
      <c r="K17" s="63"/>
      <c r="L17" s="92"/>
      <c r="M17" s="63"/>
      <c r="N17" s="66"/>
      <c r="O17" s="87">
        <f t="shared" si="6"/>
        <v>0</v>
      </c>
      <c r="P17" s="67"/>
      <c r="Q17" s="68"/>
    </row>
    <row r="18" spans="1:17" x14ac:dyDescent="0.25">
      <c r="A18" s="61" t="s">
        <v>2</v>
      </c>
      <c r="B18" s="62">
        <v>528.5</v>
      </c>
      <c r="C18" s="63">
        <f t="shared" si="9"/>
        <v>1054357.5</v>
      </c>
      <c r="D18" s="64">
        <v>603.5</v>
      </c>
      <c r="E18" s="63">
        <f t="shared" ref="E18:E30" si="10">D18*$C$51</f>
        <v>1415207.5</v>
      </c>
      <c r="F18" s="62">
        <v>3</v>
      </c>
      <c r="G18" s="71">
        <f t="shared" ref="G18" si="11">F18*$D$51</f>
        <v>8085</v>
      </c>
      <c r="H18" s="62"/>
      <c r="I18" s="63"/>
      <c r="J18" s="72"/>
      <c r="K18" s="63"/>
      <c r="L18" s="91">
        <v>3004148</v>
      </c>
      <c r="M18" s="63">
        <f t="shared" ref="M18:M30" si="12">SUM(K18+I18+G18+E18+C18)</f>
        <v>2477650</v>
      </c>
      <c r="N18" s="66">
        <f t="shared" ref="N18:N30" si="13">(M18-L18)/L18</f>
        <v>-0.17525701130570132</v>
      </c>
      <c r="O18" s="87">
        <f t="shared" si="6"/>
        <v>2974106.52</v>
      </c>
      <c r="P18" s="67">
        <f t="shared" ref="P18:P30" si="14">IF(O18=FALSE,M18,O18)</f>
        <v>2974106.52</v>
      </c>
      <c r="Q18" s="68">
        <f t="shared" ref="Q18:Q30" si="15">(P18-L18)/L18</f>
        <v>-9.9999999999999933E-3</v>
      </c>
    </row>
    <row r="19" spans="1:17" x14ac:dyDescent="0.25">
      <c r="A19" s="61" t="s">
        <v>3</v>
      </c>
      <c r="B19" s="62">
        <v>58.5</v>
      </c>
      <c r="C19" s="63">
        <f t="shared" si="9"/>
        <v>116707.5</v>
      </c>
      <c r="D19" s="64">
        <v>145</v>
      </c>
      <c r="E19" s="63">
        <f t="shared" si="10"/>
        <v>340025</v>
      </c>
      <c r="F19" s="62"/>
      <c r="G19" s="71"/>
      <c r="H19" s="62"/>
      <c r="I19" s="63"/>
      <c r="J19" s="72"/>
      <c r="K19" s="63"/>
      <c r="L19" s="91">
        <v>476475</v>
      </c>
      <c r="M19" s="63">
        <f t="shared" si="12"/>
        <v>456732.5</v>
      </c>
      <c r="N19" s="66">
        <f t="shared" si="13"/>
        <v>-4.1434492890497929E-2</v>
      </c>
      <c r="O19" s="87">
        <f t="shared" si="6"/>
        <v>471710.25</v>
      </c>
      <c r="P19" s="67">
        <f t="shared" si="14"/>
        <v>471710.25</v>
      </c>
      <c r="Q19" s="68">
        <f t="shared" si="15"/>
        <v>-0.01</v>
      </c>
    </row>
    <row r="20" spans="1:17" x14ac:dyDescent="0.25">
      <c r="A20" s="61" t="s">
        <v>4</v>
      </c>
      <c r="B20" s="62">
        <v>737</v>
      </c>
      <c r="C20" s="63">
        <f t="shared" si="9"/>
        <v>1470315</v>
      </c>
      <c r="D20" s="64">
        <v>824.5</v>
      </c>
      <c r="E20" s="63">
        <f t="shared" si="10"/>
        <v>1933452.5</v>
      </c>
      <c r="F20" s="62"/>
      <c r="G20" s="71"/>
      <c r="H20" s="62"/>
      <c r="I20" s="63"/>
      <c r="J20" s="72"/>
      <c r="K20" s="63"/>
      <c r="L20" s="91">
        <v>3851839</v>
      </c>
      <c r="M20" s="63">
        <f t="shared" si="12"/>
        <v>3403767.5</v>
      </c>
      <c r="N20" s="66">
        <f t="shared" si="13"/>
        <v>-0.11632664293601057</v>
      </c>
      <c r="O20" s="87">
        <f t="shared" si="6"/>
        <v>3813320.61</v>
      </c>
      <c r="P20" s="67">
        <f t="shared" si="14"/>
        <v>3813320.61</v>
      </c>
      <c r="Q20" s="68">
        <f t="shared" si="15"/>
        <v>-1.0000000000000033E-2</v>
      </c>
    </row>
    <row r="21" spans="1:17" x14ac:dyDescent="0.25">
      <c r="A21" s="61" t="s">
        <v>5</v>
      </c>
      <c r="B21" s="62">
        <v>1169.5</v>
      </c>
      <c r="C21" s="63">
        <f t="shared" si="9"/>
        <v>2333152.5</v>
      </c>
      <c r="D21" s="64">
        <v>1049</v>
      </c>
      <c r="E21" s="63">
        <f t="shared" si="10"/>
        <v>2459905</v>
      </c>
      <c r="F21" s="62"/>
      <c r="G21" s="71"/>
      <c r="H21" s="62">
        <v>1.5</v>
      </c>
      <c r="I21" s="71">
        <f>H21*$E$51</f>
        <v>4567.5</v>
      </c>
      <c r="J21" s="72">
        <v>0.5</v>
      </c>
      <c r="K21" s="63"/>
      <c r="L21" s="91">
        <v>5340274</v>
      </c>
      <c r="M21" s="63">
        <f t="shared" si="12"/>
        <v>4797625</v>
      </c>
      <c r="N21" s="66">
        <f t="shared" si="13"/>
        <v>-0.10161444899643726</v>
      </c>
      <c r="O21" s="87">
        <f t="shared" si="6"/>
        <v>5286871.26</v>
      </c>
      <c r="P21" s="67">
        <f t="shared" si="14"/>
        <v>5286871.26</v>
      </c>
      <c r="Q21" s="68">
        <f t="shared" si="15"/>
        <v>-1.0000000000000042E-2</v>
      </c>
    </row>
    <row r="22" spans="1:17" x14ac:dyDescent="0.25">
      <c r="A22" s="61" t="s">
        <v>6</v>
      </c>
      <c r="B22" s="62">
        <v>1706</v>
      </c>
      <c r="C22" s="63">
        <f t="shared" si="9"/>
        <v>3403470</v>
      </c>
      <c r="D22" s="64">
        <v>1904.5</v>
      </c>
      <c r="E22" s="63">
        <f t="shared" si="10"/>
        <v>4466052.5</v>
      </c>
      <c r="F22" s="62"/>
      <c r="G22" s="71"/>
      <c r="H22" s="62"/>
      <c r="I22" s="71"/>
      <c r="J22" s="72"/>
      <c r="K22" s="63"/>
      <c r="L22" s="91">
        <v>8960400</v>
      </c>
      <c r="M22" s="63">
        <f t="shared" si="12"/>
        <v>7869522.5</v>
      </c>
      <c r="N22" s="66">
        <f t="shared" si="13"/>
        <v>-0.12174428596937636</v>
      </c>
      <c r="O22" s="87">
        <f t="shared" si="6"/>
        <v>8870796</v>
      </c>
      <c r="P22" s="67">
        <f t="shared" si="14"/>
        <v>8870796</v>
      </c>
      <c r="Q22" s="68">
        <f t="shared" si="15"/>
        <v>-0.01</v>
      </c>
    </row>
    <row r="23" spans="1:17" x14ac:dyDescent="0.25">
      <c r="A23" s="61" t="s">
        <v>7</v>
      </c>
      <c r="B23" s="62">
        <v>94</v>
      </c>
      <c r="C23" s="63">
        <f t="shared" si="9"/>
        <v>187530</v>
      </c>
      <c r="D23" s="64">
        <v>150.5</v>
      </c>
      <c r="E23" s="63">
        <f t="shared" si="10"/>
        <v>352922.5</v>
      </c>
      <c r="F23" s="62"/>
      <c r="G23" s="71"/>
      <c r="H23" s="62"/>
      <c r="I23" s="71"/>
      <c r="J23" s="72"/>
      <c r="K23" s="63"/>
      <c r="L23" s="91">
        <v>534912</v>
      </c>
      <c r="M23" s="63">
        <f t="shared" si="12"/>
        <v>540452.5</v>
      </c>
      <c r="N23" s="66">
        <f t="shared" si="13"/>
        <v>1.0357778475711893E-2</v>
      </c>
      <c r="O23" s="87">
        <f t="shared" si="6"/>
        <v>540452.5</v>
      </c>
      <c r="P23" s="67">
        <f t="shared" si="14"/>
        <v>540452.5</v>
      </c>
      <c r="Q23" s="68">
        <f t="shared" si="15"/>
        <v>1.0357778475711893E-2</v>
      </c>
    </row>
    <row r="24" spans="1:17" x14ac:dyDescent="0.25">
      <c r="A24" s="61" t="s">
        <v>8</v>
      </c>
      <c r="B24" s="62">
        <v>76.5</v>
      </c>
      <c r="C24" s="63">
        <f t="shared" si="9"/>
        <v>152617.5</v>
      </c>
      <c r="D24" s="64">
        <v>151.5</v>
      </c>
      <c r="E24" s="63">
        <f t="shared" si="10"/>
        <v>355267.5</v>
      </c>
      <c r="F24" s="62"/>
      <c r="G24" s="71"/>
      <c r="H24" s="62"/>
      <c r="I24" s="71"/>
      <c r="J24" s="72"/>
      <c r="K24" s="63"/>
      <c r="L24" s="91">
        <v>657553</v>
      </c>
      <c r="M24" s="63">
        <f t="shared" si="12"/>
        <v>507885</v>
      </c>
      <c r="N24" s="66">
        <f t="shared" si="13"/>
        <v>-0.22761359160402278</v>
      </c>
      <c r="O24" s="87">
        <f t="shared" si="6"/>
        <v>650977.47</v>
      </c>
      <c r="P24" s="67">
        <f t="shared" si="14"/>
        <v>650977.47</v>
      </c>
      <c r="Q24" s="68">
        <f t="shared" si="15"/>
        <v>-1.0000000000000042E-2</v>
      </c>
    </row>
    <row r="25" spans="1:17" x14ac:dyDescent="0.25">
      <c r="A25" s="61" t="s">
        <v>9</v>
      </c>
      <c r="B25" s="62">
        <v>127.5</v>
      </c>
      <c r="C25" s="63">
        <f t="shared" si="9"/>
        <v>254362.5</v>
      </c>
      <c r="D25" s="64">
        <v>227</v>
      </c>
      <c r="E25" s="63">
        <f t="shared" si="10"/>
        <v>532315</v>
      </c>
      <c r="F25" s="62"/>
      <c r="G25" s="71"/>
      <c r="H25" s="62"/>
      <c r="I25" s="71"/>
      <c r="J25" s="72"/>
      <c r="K25" s="63"/>
      <c r="L25" s="91">
        <v>866153</v>
      </c>
      <c r="M25" s="63">
        <f t="shared" si="12"/>
        <v>786677.5</v>
      </c>
      <c r="N25" s="66">
        <f t="shared" si="13"/>
        <v>-9.1756883599087E-2</v>
      </c>
      <c r="O25" s="87">
        <f t="shared" si="6"/>
        <v>857491.47</v>
      </c>
      <c r="P25" s="67">
        <f t="shared" si="14"/>
        <v>857491.47</v>
      </c>
      <c r="Q25" s="68">
        <f t="shared" si="15"/>
        <v>-1.0000000000000031E-2</v>
      </c>
    </row>
    <row r="26" spans="1:17" x14ac:dyDescent="0.25">
      <c r="A26" s="61" t="s">
        <v>10</v>
      </c>
      <c r="B26" s="62">
        <v>146</v>
      </c>
      <c r="C26" s="63">
        <f t="shared" si="9"/>
        <v>291270</v>
      </c>
      <c r="D26" s="64">
        <v>309.5</v>
      </c>
      <c r="E26" s="63">
        <f t="shared" si="10"/>
        <v>725777.5</v>
      </c>
      <c r="F26" s="62"/>
      <c r="G26" s="71"/>
      <c r="H26" s="62"/>
      <c r="I26" s="71"/>
      <c r="J26" s="72"/>
      <c r="K26" s="63"/>
      <c r="L26" s="91">
        <v>1026685</v>
      </c>
      <c r="M26" s="63">
        <f t="shared" si="12"/>
        <v>1017047.5</v>
      </c>
      <c r="N26" s="66">
        <f t="shared" si="13"/>
        <v>-9.3870076995378332E-3</v>
      </c>
      <c r="O26" s="87">
        <f t="shared" si="6"/>
        <v>1017047.5</v>
      </c>
      <c r="P26" s="67">
        <f t="shared" si="14"/>
        <v>1017047.5</v>
      </c>
      <c r="Q26" s="68">
        <f t="shared" si="15"/>
        <v>-9.3870076995378332E-3</v>
      </c>
    </row>
    <row r="27" spans="1:17" x14ac:dyDescent="0.25">
      <c r="A27" s="61" t="s">
        <v>11</v>
      </c>
      <c r="B27" s="62">
        <v>1970</v>
      </c>
      <c r="C27" s="63">
        <f t="shared" si="9"/>
        <v>3930150</v>
      </c>
      <c r="D27" s="64">
        <v>2652.5</v>
      </c>
      <c r="E27" s="63">
        <f t="shared" si="10"/>
        <v>6220112.5</v>
      </c>
      <c r="F27" s="62">
        <v>2</v>
      </c>
      <c r="G27" s="71">
        <f>F27*$D$51</f>
        <v>5390</v>
      </c>
      <c r="H27" s="62">
        <v>2</v>
      </c>
      <c r="I27" s="71"/>
      <c r="J27" s="72">
        <v>1</v>
      </c>
      <c r="K27" s="63"/>
      <c r="L27" s="91">
        <v>9993071</v>
      </c>
      <c r="M27" s="63">
        <f t="shared" si="12"/>
        <v>10155652.5</v>
      </c>
      <c r="N27" s="66">
        <f t="shared" si="13"/>
        <v>1.6269423083254388E-2</v>
      </c>
      <c r="O27" s="87">
        <f t="shared" si="6"/>
        <v>10155652.5</v>
      </c>
      <c r="P27" s="67">
        <f t="shared" si="14"/>
        <v>10155652.5</v>
      </c>
      <c r="Q27" s="68">
        <f t="shared" si="15"/>
        <v>1.6269423083254388E-2</v>
      </c>
    </row>
    <row r="28" spans="1:17" x14ac:dyDescent="0.25">
      <c r="A28" s="61" t="s">
        <v>12</v>
      </c>
      <c r="B28" s="62">
        <v>869.5</v>
      </c>
      <c r="C28" s="63">
        <f t="shared" si="9"/>
        <v>1734652.5</v>
      </c>
      <c r="D28" s="64">
        <v>1000.5</v>
      </c>
      <c r="E28" s="63">
        <f t="shared" si="10"/>
        <v>2346172.5</v>
      </c>
      <c r="F28" s="62"/>
      <c r="G28" s="71"/>
      <c r="H28" s="62">
        <v>7.5</v>
      </c>
      <c r="I28" s="71">
        <f t="shared" ref="I28:I29" si="16">H28*$E$51</f>
        <v>22837.5</v>
      </c>
      <c r="J28" s="72">
        <v>1</v>
      </c>
      <c r="K28" s="63"/>
      <c r="L28" s="91">
        <v>4756617</v>
      </c>
      <c r="M28" s="63">
        <f t="shared" si="12"/>
        <v>4103662.5</v>
      </c>
      <c r="N28" s="66">
        <f t="shared" si="13"/>
        <v>-0.13727287692071907</v>
      </c>
      <c r="O28" s="87">
        <f t="shared" si="6"/>
        <v>4709050.83</v>
      </c>
      <c r="P28" s="67">
        <f t="shared" si="14"/>
        <v>4709050.83</v>
      </c>
      <c r="Q28" s="68">
        <f t="shared" si="15"/>
        <v>-9.9999999999999846E-3</v>
      </c>
    </row>
    <row r="29" spans="1:17" x14ac:dyDescent="0.25">
      <c r="A29" s="61" t="s">
        <v>13</v>
      </c>
      <c r="B29" s="62">
        <v>692.5</v>
      </c>
      <c r="C29" s="63">
        <f t="shared" si="9"/>
        <v>1381537.5</v>
      </c>
      <c r="D29" s="64">
        <v>871.5</v>
      </c>
      <c r="E29" s="63">
        <f t="shared" si="10"/>
        <v>2043667.5</v>
      </c>
      <c r="F29" s="62">
        <v>1</v>
      </c>
      <c r="G29" s="71">
        <f t="shared" ref="G29" si="17">F29*$D$51</f>
        <v>2695</v>
      </c>
      <c r="H29" s="62">
        <v>2</v>
      </c>
      <c r="I29" s="71">
        <f t="shared" si="16"/>
        <v>6090</v>
      </c>
      <c r="J29" s="72"/>
      <c r="K29" s="63"/>
      <c r="L29" s="91">
        <v>3816273</v>
      </c>
      <c r="M29" s="63">
        <f t="shared" si="12"/>
        <v>3433990</v>
      </c>
      <c r="N29" s="66">
        <f t="shared" si="13"/>
        <v>-0.10017181684853259</v>
      </c>
      <c r="O29" s="87">
        <f t="shared" si="6"/>
        <v>3778110.27</v>
      </c>
      <c r="P29" s="67">
        <f t="shared" si="14"/>
        <v>3778110.27</v>
      </c>
      <c r="Q29" s="68">
        <f t="shared" si="15"/>
        <v>-9.999999999999995E-3</v>
      </c>
    </row>
    <row r="30" spans="1:17" x14ac:dyDescent="0.25">
      <c r="A30" s="61" t="s">
        <v>14</v>
      </c>
      <c r="B30" s="62">
        <v>135.5</v>
      </c>
      <c r="C30" s="63">
        <f t="shared" si="9"/>
        <v>270322.5</v>
      </c>
      <c r="D30" s="64">
        <v>375</v>
      </c>
      <c r="E30" s="63">
        <f t="shared" si="10"/>
        <v>879375</v>
      </c>
      <c r="F30" s="62"/>
      <c r="G30" s="63"/>
      <c r="H30" s="62"/>
      <c r="I30" s="63"/>
      <c r="J30" s="72">
        <v>2.5</v>
      </c>
      <c r="K30" s="63"/>
      <c r="L30" s="91">
        <v>1172874</v>
      </c>
      <c r="M30" s="63">
        <f t="shared" si="12"/>
        <v>1149697.5</v>
      </c>
      <c r="N30" s="66">
        <f t="shared" si="13"/>
        <v>-1.9760434624691143E-2</v>
      </c>
      <c r="O30" s="87">
        <f t="shared" si="6"/>
        <v>1161145.26</v>
      </c>
      <c r="P30" s="67">
        <f t="shared" si="14"/>
        <v>1161145.26</v>
      </c>
      <c r="Q30" s="68">
        <f t="shared" si="15"/>
        <v>-9.9999999999999915E-3</v>
      </c>
    </row>
    <row r="31" spans="1:17" x14ac:dyDescent="0.25">
      <c r="A31" s="69"/>
      <c r="B31" s="65"/>
      <c r="C31" s="63"/>
      <c r="D31" s="62"/>
      <c r="E31" s="63"/>
      <c r="F31" s="65"/>
      <c r="G31" s="63"/>
      <c r="H31" s="65"/>
      <c r="I31" s="63"/>
      <c r="J31" s="65"/>
      <c r="K31" s="63"/>
      <c r="L31" s="92"/>
      <c r="M31" s="63"/>
      <c r="N31" s="66"/>
      <c r="O31" s="87">
        <f t="shared" si="6"/>
        <v>0</v>
      </c>
      <c r="P31" s="67"/>
      <c r="Q31" s="68"/>
    </row>
    <row r="32" spans="1:17" x14ac:dyDescent="0.25">
      <c r="A32" s="70" t="s">
        <v>38</v>
      </c>
      <c r="B32" s="65"/>
      <c r="C32" s="63"/>
      <c r="D32" s="62"/>
      <c r="E32" s="63"/>
      <c r="F32" s="65"/>
      <c r="G32" s="63"/>
      <c r="H32" s="65"/>
      <c r="I32" s="63"/>
      <c r="J32" s="65"/>
      <c r="K32" s="63"/>
      <c r="L32" s="92"/>
      <c r="M32" s="63"/>
      <c r="N32" s="66"/>
      <c r="O32" s="87">
        <f t="shared" si="6"/>
        <v>0</v>
      </c>
      <c r="P32" s="67"/>
      <c r="Q32" s="68"/>
    </row>
    <row r="33" spans="1:17" x14ac:dyDescent="0.25">
      <c r="A33" s="61" t="s">
        <v>1</v>
      </c>
      <c r="B33" s="62">
        <v>899.5</v>
      </c>
      <c r="C33" s="63">
        <f>B33*$B$51</f>
        <v>1794502.5</v>
      </c>
      <c r="D33" s="64">
        <v>1007</v>
      </c>
      <c r="E33" s="63">
        <f>D33*$C$51</f>
        <v>2361415</v>
      </c>
      <c r="F33" s="65"/>
      <c r="G33" s="63"/>
      <c r="H33" s="65"/>
      <c r="I33" s="63"/>
      <c r="J33" s="65"/>
      <c r="K33" s="63"/>
      <c r="L33" s="91">
        <v>3621278</v>
      </c>
      <c r="M33" s="63">
        <f>SUM(K33+I33+G33+E33+C33)</f>
        <v>4155917.5</v>
      </c>
      <c r="N33" s="66">
        <f>(M33-L33)/L33</f>
        <v>0.14763834756679825</v>
      </c>
      <c r="O33" s="87">
        <f t="shared" si="6"/>
        <v>4155917.5</v>
      </c>
      <c r="P33" s="67">
        <f>IF(O33=FALSE,M33,O33)</f>
        <v>4155917.5</v>
      </c>
      <c r="Q33" s="68">
        <f>(P33-L33)/L33</f>
        <v>0.14763834756679825</v>
      </c>
    </row>
    <row r="34" spans="1:17" x14ac:dyDescent="0.25">
      <c r="A34" s="61" t="s">
        <v>24</v>
      </c>
      <c r="B34" s="62">
        <v>632</v>
      </c>
      <c r="C34" s="63">
        <f>B34*$B$51</f>
        <v>1260840</v>
      </c>
      <c r="D34" s="62">
        <v>404</v>
      </c>
      <c r="E34" s="63">
        <f>D34*$C$51</f>
        <v>947380</v>
      </c>
      <c r="F34" s="65">
        <v>25</v>
      </c>
      <c r="G34" s="63">
        <f>F34*$D$51</f>
        <v>67375</v>
      </c>
      <c r="H34" s="65">
        <v>0</v>
      </c>
      <c r="I34" s="63">
        <f>H34*$E$51</f>
        <v>0</v>
      </c>
      <c r="J34" s="65"/>
      <c r="K34" s="63">
        <f>J34*$B$51</f>
        <v>0</v>
      </c>
      <c r="L34" s="91">
        <v>2203668</v>
      </c>
      <c r="M34" s="63">
        <f>SUM(K34+I34+G34+E34+C34)</f>
        <v>2275595</v>
      </c>
      <c r="N34" s="66">
        <f>(M34-L34)/L34</f>
        <v>3.2639671674680577E-2</v>
      </c>
      <c r="O34" s="87">
        <f t="shared" si="6"/>
        <v>2275595</v>
      </c>
      <c r="P34" s="67">
        <f>IF(O34=FALSE,M34,O34)</f>
        <v>2275595</v>
      </c>
      <c r="Q34" s="68">
        <f>(P34-L34)/L34</f>
        <v>3.2639671674680577E-2</v>
      </c>
    </row>
    <row r="35" spans="1:17" x14ac:dyDescent="0.25">
      <c r="A35" s="69"/>
      <c r="B35" s="65"/>
      <c r="C35" s="63"/>
      <c r="D35" s="62"/>
      <c r="E35" s="63"/>
      <c r="F35" s="65"/>
      <c r="G35" s="63"/>
      <c r="H35" s="65"/>
      <c r="I35" s="63"/>
      <c r="J35" s="65"/>
      <c r="K35" s="63"/>
      <c r="L35" s="92"/>
      <c r="M35" s="63"/>
      <c r="N35" s="66"/>
      <c r="O35" s="87">
        <f t="shared" si="6"/>
        <v>0</v>
      </c>
      <c r="P35" s="67"/>
      <c r="Q35" s="68"/>
    </row>
    <row r="36" spans="1:17" x14ac:dyDescent="0.25">
      <c r="A36" s="70" t="s">
        <v>46</v>
      </c>
      <c r="B36" s="65"/>
      <c r="C36" s="63"/>
      <c r="D36" s="6"/>
      <c r="E36" s="63"/>
      <c r="F36" s="65"/>
      <c r="G36" s="63"/>
      <c r="H36" s="65"/>
      <c r="I36" s="63"/>
      <c r="J36" s="65"/>
      <c r="K36" s="63"/>
      <c r="L36" s="92"/>
      <c r="M36" s="63"/>
      <c r="N36" s="66"/>
      <c r="O36" s="87">
        <f t="shared" si="6"/>
        <v>0</v>
      </c>
      <c r="P36" s="67"/>
      <c r="Q36" s="68"/>
    </row>
    <row r="37" spans="1:17" x14ac:dyDescent="0.25">
      <c r="A37" s="61" t="s">
        <v>18</v>
      </c>
      <c r="B37" s="62">
        <v>186.5</v>
      </c>
      <c r="C37" s="63">
        <f>B37*$B$51</f>
        <v>372067.5</v>
      </c>
      <c r="D37" s="64">
        <v>234</v>
      </c>
      <c r="E37" s="63">
        <f>D37*$C$51</f>
        <v>548730</v>
      </c>
      <c r="F37" s="65">
        <v>206</v>
      </c>
      <c r="G37" s="63">
        <f>F37*$D$51</f>
        <v>555170</v>
      </c>
      <c r="H37" s="64">
        <v>274</v>
      </c>
      <c r="I37" s="63">
        <f>H37*$E$51</f>
        <v>834330</v>
      </c>
      <c r="J37" s="65">
        <v>1.5</v>
      </c>
      <c r="K37" s="63">
        <f>J37*$B$51</f>
        <v>2992.5</v>
      </c>
      <c r="L37" s="91">
        <v>2167621</v>
      </c>
      <c r="M37" s="63">
        <f>SUM(K37+I37+G37+E37+C37)</f>
        <v>2313290</v>
      </c>
      <c r="N37" s="66">
        <f>(M37-L37)/L37</f>
        <v>6.7202246149119238E-2</v>
      </c>
      <c r="O37" s="87">
        <f t="shared" si="6"/>
        <v>2313290</v>
      </c>
      <c r="P37" s="67">
        <f>IF(O37=FALSE,M37,O37)</f>
        <v>2313290</v>
      </c>
      <c r="Q37" s="68">
        <f>(P37-L37)/L37</f>
        <v>6.7202246149119238E-2</v>
      </c>
    </row>
    <row r="38" spans="1:17" x14ac:dyDescent="0.25">
      <c r="A38" s="61" t="s">
        <v>16</v>
      </c>
      <c r="B38" s="62">
        <v>12</v>
      </c>
      <c r="C38" s="63">
        <f>B38*$B$51</f>
        <v>23940</v>
      </c>
      <c r="D38" s="64">
        <v>13.5</v>
      </c>
      <c r="E38" s="63">
        <f>D38*$C$51</f>
        <v>31657.5</v>
      </c>
      <c r="F38" s="65">
        <v>14</v>
      </c>
      <c r="G38" s="63">
        <f>F38*$D$51</f>
        <v>37730</v>
      </c>
      <c r="H38" s="64">
        <v>18.5</v>
      </c>
      <c r="I38" s="63">
        <f>H38*$E$51</f>
        <v>56332.5</v>
      </c>
      <c r="J38" s="65"/>
      <c r="K38" s="63"/>
      <c r="L38" s="91">
        <v>158879</v>
      </c>
      <c r="M38" s="63">
        <f>SUM(K38+I38+G38+E38+C38)</f>
        <v>149660</v>
      </c>
      <c r="N38" s="66">
        <f>(M38-L38)/L38</f>
        <v>-5.802528968586157E-2</v>
      </c>
      <c r="O38" s="87">
        <f t="shared" si="6"/>
        <v>157290.21</v>
      </c>
      <c r="P38" s="67">
        <f>IF(O38=FALSE,M38,O38)</f>
        <v>157290.21</v>
      </c>
      <c r="Q38" s="68">
        <f>(P38-L38)/L38</f>
        <v>-1.0000000000000051E-2</v>
      </c>
    </row>
    <row r="39" spans="1:17" x14ac:dyDescent="0.25">
      <c r="A39" s="61" t="s">
        <v>17</v>
      </c>
      <c r="B39" s="62">
        <v>30</v>
      </c>
      <c r="C39" s="63">
        <f>B39*$B$51</f>
        <v>59850</v>
      </c>
      <c r="D39" s="64">
        <v>23</v>
      </c>
      <c r="E39" s="63">
        <f>D39*$C$51</f>
        <v>53935</v>
      </c>
      <c r="F39" s="65">
        <v>25.5</v>
      </c>
      <c r="G39" s="63">
        <f>F39*$D$51</f>
        <v>68722.5</v>
      </c>
      <c r="H39" s="64">
        <v>26</v>
      </c>
      <c r="I39" s="63">
        <f>H39*$E$51</f>
        <v>79170</v>
      </c>
      <c r="J39" s="65"/>
      <c r="K39" s="63"/>
      <c r="L39" s="91">
        <v>126850</v>
      </c>
      <c r="M39" s="63">
        <f>SUM(K39+I39+G39+E39+C39)</f>
        <v>261677.5</v>
      </c>
      <c r="N39" s="66">
        <f>(M39-L39)/L39</f>
        <v>1.0628892392589673</v>
      </c>
      <c r="O39" s="87">
        <f t="shared" si="6"/>
        <v>145877.5</v>
      </c>
      <c r="P39" s="67">
        <f>IF(O39=FALSE,M39,O39)</f>
        <v>145877.5</v>
      </c>
      <c r="Q39" s="68">
        <f>(P39-L39)/L39</f>
        <v>0.15</v>
      </c>
    </row>
    <row r="40" spans="1:17" x14ac:dyDescent="0.25">
      <c r="A40" s="61" t="s">
        <v>19</v>
      </c>
      <c r="B40" s="62">
        <v>147.5</v>
      </c>
      <c r="C40" s="63">
        <f>B40*$B$51</f>
        <v>294262.5</v>
      </c>
      <c r="D40" s="64">
        <v>125.5</v>
      </c>
      <c r="E40" s="63">
        <f>D40*$C$51</f>
        <v>294297.5</v>
      </c>
      <c r="F40" s="65">
        <v>187.5</v>
      </c>
      <c r="G40" s="63">
        <f>F40*$D$51</f>
        <v>505312.5</v>
      </c>
      <c r="H40" s="64">
        <v>313</v>
      </c>
      <c r="I40" s="63">
        <f>H40*$E$51</f>
        <v>953085</v>
      </c>
      <c r="J40" s="65">
        <v>6.5</v>
      </c>
      <c r="K40" s="63">
        <f>J40*$B$51</f>
        <v>12967.5</v>
      </c>
      <c r="L40" s="91">
        <v>2410209</v>
      </c>
      <c r="M40" s="63">
        <f>SUM(K40+I40+G40+E40+C40)</f>
        <v>2059925</v>
      </c>
      <c r="N40" s="66">
        <f>(M40-L40)/L40</f>
        <v>-0.14533345448465257</v>
      </c>
      <c r="O40" s="87">
        <f t="shared" si="6"/>
        <v>2386106.91</v>
      </c>
      <c r="P40" s="67">
        <f>IF(O40=FALSE,M40,O40)</f>
        <v>2386106.91</v>
      </c>
      <c r="Q40" s="68">
        <f>(P40-L40)/L40</f>
        <v>-9.9999999999999378E-3</v>
      </c>
    </row>
    <row r="41" spans="1:17" x14ac:dyDescent="0.25">
      <c r="A41" s="61" t="s">
        <v>20</v>
      </c>
      <c r="B41" s="62">
        <v>48</v>
      </c>
      <c r="C41" s="63">
        <f>B41*$B$51</f>
        <v>95760</v>
      </c>
      <c r="D41" s="64">
        <v>135</v>
      </c>
      <c r="E41" s="63">
        <f>D41*$C$51</f>
        <v>316575</v>
      </c>
      <c r="F41" s="65">
        <v>126.5</v>
      </c>
      <c r="G41" s="63">
        <f>F41*$D$51</f>
        <v>340917.5</v>
      </c>
      <c r="H41" s="64">
        <v>250</v>
      </c>
      <c r="I41" s="63">
        <f>H41*$E$51</f>
        <v>761250</v>
      </c>
      <c r="J41" s="65">
        <v>0.5</v>
      </c>
      <c r="K41" s="63">
        <f>J41*$B$51</f>
        <v>997.5</v>
      </c>
      <c r="L41" s="91">
        <v>1460713</v>
      </c>
      <c r="M41" s="63">
        <f>SUM(K41+I41+G41+E41+C41)</f>
        <v>1515500</v>
      </c>
      <c r="N41" s="66">
        <f>(M41-L41)/L41</f>
        <v>3.7507025678555607E-2</v>
      </c>
      <c r="O41" s="87">
        <f t="shared" si="6"/>
        <v>1515500</v>
      </c>
      <c r="P41" s="67">
        <f>IF(O41=FALSE,M41,O41)</f>
        <v>1515500</v>
      </c>
      <c r="Q41" s="68">
        <f>(P41-L41)/L41</f>
        <v>3.7507025678555607E-2</v>
      </c>
    </row>
    <row r="42" spans="1:17" x14ac:dyDescent="0.25">
      <c r="A42" s="69"/>
      <c r="B42" s="65"/>
      <c r="C42" s="63"/>
      <c r="D42" s="62"/>
      <c r="E42" s="63"/>
      <c r="F42" s="65"/>
      <c r="G42" s="63"/>
      <c r="H42" s="62"/>
      <c r="I42" s="63"/>
      <c r="J42" s="65"/>
      <c r="K42" s="63"/>
      <c r="L42" s="92"/>
      <c r="M42" s="63"/>
      <c r="N42" s="66"/>
      <c r="O42" s="87">
        <f t="shared" si="6"/>
        <v>0</v>
      </c>
      <c r="P42" s="67"/>
      <c r="Q42" s="68"/>
    </row>
    <row r="43" spans="1:17" x14ac:dyDescent="0.25">
      <c r="A43" s="70" t="s">
        <v>47</v>
      </c>
      <c r="B43" s="65"/>
      <c r="C43" s="63"/>
      <c r="D43" s="62"/>
      <c r="E43" s="63"/>
      <c r="F43" s="65"/>
      <c r="G43" s="63"/>
      <c r="H43" s="62"/>
      <c r="I43" s="63"/>
      <c r="J43" s="65"/>
      <c r="K43" s="63"/>
      <c r="L43" s="92"/>
      <c r="M43" s="63"/>
      <c r="N43" s="66"/>
      <c r="O43" s="87">
        <f t="shared" si="6"/>
        <v>0</v>
      </c>
      <c r="P43" s="67"/>
      <c r="Q43" s="68"/>
    </row>
    <row r="44" spans="1:17" x14ac:dyDescent="0.25">
      <c r="A44" s="61" t="s">
        <v>37</v>
      </c>
      <c r="B44" s="62">
        <v>32.5</v>
      </c>
      <c r="C44" s="63">
        <f>B44*$B$51</f>
        <v>64837.5</v>
      </c>
      <c r="D44" s="64">
        <v>24</v>
      </c>
      <c r="E44" s="63">
        <f t="shared" ref="E44:E46" si="18">D44*$C$51</f>
        <v>56280</v>
      </c>
      <c r="F44" s="65"/>
      <c r="G44" s="63"/>
      <c r="H44" s="62"/>
      <c r="I44" s="63"/>
      <c r="J44" s="65"/>
      <c r="K44" s="63"/>
      <c r="L44" s="91">
        <v>151048</v>
      </c>
      <c r="M44" s="63">
        <f>SUM(K44+I44+G44+E44+C44)</f>
        <v>121117.5</v>
      </c>
      <c r="N44" s="66">
        <f>(M44-L44)/L44</f>
        <v>-0.19815224299560405</v>
      </c>
      <c r="O44" s="87">
        <f t="shared" si="6"/>
        <v>149537.51999999999</v>
      </c>
      <c r="P44" s="67">
        <f>IF(O44=FALSE,M44,O44)</f>
        <v>149537.51999999999</v>
      </c>
      <c r="Q44" s="68">
        <f>(P44-L44)/L44</f>
        <v>-1.000000000000007E-2</v>
      </c>
    </row>
    <row r="45" spans="1:17" x14ac:dyDescent="0.25">
      <c r="A45" s="61" t="s">
        <v>35</v>
      </c>
      <c r="B45" s="62">
        <v>490</v>
      </c>
      <c r="C45" s="63">
        <f>B45*$B$51</f>
        <v>977550</v>
      </c>
      <c r="D45" s="64"/>
      <c r="E45" s="63">
        <f t="shared" si="18"/>
        <v>0</v>
      </c>
      <c r="F45" s="65"/>
      <c r="G45" s="63"/>
      <c r="H45" s="62"/>
      <c r="I45" s="63"/>
      <c r="J45" s="65"/>
      <c r="K45" s="63"/>
      <c r="L45" s="91">
        <v>717977</v>
      </c>
      <c r="M45" s="63">
        <f>SUM(K45+I45+G45+E45+C45)</f>
        <v>977550</v>
      </c>
      <c r="N45" s="66">
        <f>(M45-L45)/L45</f>
        <v>0.36153386529094944</v>
      </c>
      <c r="O45" s="87">
        <f t="shared" si="6"/>
        <v>825673.54999999993</v>
      </c>
      <c r="P45" s="67">
        <f>IF(O45=FALSE,M45,O45)</f>
        <v>825673.54999999993</v>
      </c>
      <c r="Q45" s="68">
        <f>(P45-L45)/L45</f>
        <v>0.14999999999999991</v>
      </c>
    </row>
    <row r="46" spans="1:17" x14ac:dyDescent="0.25">
      <c r="A46" s="61" t="s">
        <v>36</v>
      </c>
      <c r="B46" s="62">
        <v>110</v>
      </c>
      <c r="C46" s="63">
        <f>B46*$B$51</f>
        <v>219450</v>
      </c>
      <c r="D46" s="73">
        <v>93.5</v>
      </c>
      <c r="E46" s="74">
        <f t="shared" si="18"/>
        <v>219257.5</v>
      </c>
      <c r="F46" s="75"/>
      <c r="G46" s="67"/>
      <c r="H46" s="73">
        <v>2</v>
      </c>
      <c r="I46" s="67">
        <f t="shared" ref="I46" si="19">H46*$E$51</f>
        <v>6090</v>
      </c>
      <c r="J46" s="65"/>
      <c r="K46" s="63"/>
      <c r="L46" s="91">
        <v>542250</v>
      </c>
      <c r="M46" s="63">
        <f>SUM(K46+I46+G46+E46+C46)</f>
        <v>444797.5</v>
      </c>
      <c r="N46" s="66">
        <f>(M46-L46)/L46</f>
        <v>-0.1797187644075611</v>
      </c>
      <c r="O46" s="87">
        <f t="shared" si="6"/>
        <v>536827.5</v>
      </c>
      <c r="P46" s="67">
        <f>IF(O46=FALSE,M46,O46)</f>
        <v>536827.5</v>
      </c>
      <c r="Q46" s="68">
        <f>(P46-L46)/L46</f>
        <v>-0.01</v>
      </c>
    </row>
    <row r="47" spans="1:17" ht="18.75" x14ac:dyDescent="0.3">
      <c r="A47" s="76" t="s">
        <v>48</v>
      </c>
      <c r="B47" s="77">
        <f>SUM(B4:B46)</f>
        <v>17289.5</v>
      </c>
      <c r="C47" s="78">
        <f>SUM(C4:C46)</f>
        <v>34492552.5</v>
      </c>
      <c r="D47" s="77">
        <f>SUM(D4:D46)</f>
        <v>19070</v>
      </c>
      <c r="E47" s="78">
        <f>SUM(E4:E46)</f>
        <v>44719150</v>
      </c>
      <c r="F47" s="79">
        <f>SUM(F4:F41)</f>
        <v>8126.5</v>
      </c>
      <c r="G47" s="78">
        <f>SUM(G4:G41)</f>
        <v>21900917.5</v>
      </c>
      <c r="H47" s="77">
        <f>SUM(H4:H41)</f>
        <v>15635.5</v>
      </c>
      <c r="I47" s="78">
        <f>SUM(I4:I46)</f>
        <v>47610097.5</v>
      </c>
      <c r="J47" s="79">
        <f>SUM(J4:J41)</f>
        <v>160</v>
      </c>
      <c r="K47" s="78">
        <f>SUM(K4:K46)</f>
        <v>309225</v>
      </c>
      <c r="L47" s="93">
        <f>SUM(L4:L46)</f>
        <v>149735303</v>
      </c>
      <c r="M47" s="78">
        <f>SUM(K47+I47+G47+E47+C47)</f>
        <v>149031942.5</v>
      </c>
      <c r="N47" s="80">
        <f>(M47-L47)/L47</f>
        <v>-4.697359179217743E-3</v>
      </c>
      <c r="O47" s="88">
        <f>SUM(O4:O46)</f>
        <v>153604746.34</v>
      </c>
      <c r="P47" s="81">
        <f>SUM(P4:P46)</f>
        <v>153604746.34</v>
      </c>
      <c r="Q47" s="82">
        <f>(P47-L47)/L47</f>
        <v>2.5841890739687512E-2</v>
      </c>
    </row>
    <row r="48" spans="1:17" x14ac:dyDescent="0.25">
      <c r="A48" s="11"/>
      <c r="M48" s="13"/>
    </row>
    <row r="49" spans="1:16" x14ac:dyDescent="0.25">
      <c r="L49" s="15"/>
      <c r="P49" s="8">
        <v>167738379.41048533</v>
      </c>
    </row>
    <row r="50" spans="1:16" x14ac:dyDescent="0.25">
      <c r="A50" s="11" t="s">
        <v>55</v>
      </c>
      <c r="B50" s="9" t="s">
        <v>49</v>
      </c>
      <c r="C50" s="9" t="s">
        <v>50</v>
      </c>
      <c r="D50" s="9" t="s">
        <v>51</v>
      </c>
      <c r="E50" s="9" t="s">
        <v>52</v>
      </c>
      <c r="K50" s="11"/>
      <c r="N50" s="12"/>
      <c r="O50" s="9"/>
      <c r="P50" s="10" t="s">
        <v>54</v>
      </c>
    </row>
    <row r="51" spans="1:16" x14ac:dyDescent="0.25">
      <c r="A51" s="9">
        <v>350</v>
      </c>
      <c r="B51" s="12">
        <v>1995</v>
      </c>
      <c r="C51" s="12">
        <f>B51+A51</f>
        <v>2345</v>
      </c>
      <c r="D51" s="12">
        <f>C51+A51</f>
        <v>2695</v>
      </c>
      <c r="E51" s="12">
        <f>D51+A51</f>
        <v>3045</v>
      </c>
      <c r="L51" s="12"/>
      <c r="M51" s="12"/>
      <c r="N51" s="12"/>
    </row>
    <row r="52" spans="1:16" x14ac:dyDescent="0.25">
      <c r="N52" s="12"/>
      <c r="O52" s="9"/>
    </row>
    <row r="53" spans="1:16" x14ac:dyDescent="0.25">
      <c r="N53" s="12"/>
      <c r="O53" s="9"/>
    </row>
    <row r="54" spans="1:16" x14ac:dyDescent="0.25">
      <c r="N54" s="12"/>
      <c r="O54" s="9"/>
    </row>
    <row r="55" spans="1:16" x14ac:dyDescent="0.25">
      <c r="A55" s="9" t="s">
        <v>56</v>
      </c>
      <c r="B55" s="12">
        <f>P49-P47</f>
        <v>14133633.070485324</v>
      </c>
      <c r="L55" s="12"/>
      <c r="N55" s="12"/>
      <c r="O55" s="9"/>
    </row>
    <row r="56" spans="1:16" x14ac:dyDescent="0.25">
      <c r="B56" s="14"/>
      <c r="L56" s="14"/>
      <c r="N56" s="12"/>
      <c r="O56" s="9"/>
    </row>
    <row r="57" spans="1:16" x14ac:dyDescent="0.25">
      <c r="N57" s="12"/>
      <c r="O57" s="9"/>
    </row>
    <row r="58" spans="1:16" x14ac:dyDescent="0.25">
      <c r="A58" s="9" t="s">
        <v>53</v>
      </c>
      <c r="N58" s="12"/>
      <c r="O58" s="9"/>
    </row>
    <row r="59" spans="1:16" x14ac:dyDescent="0.25">
      <c r="B59" s="9" t="s">
        <v>49</v>
      </c>
      <c r="C59" s="9" t="s">
        <v>50</v>
      </c>
      <c r="D59" s="9" t="s">
        <v>51</v>
      </c>
      <c r="E59" s="9" t="s">
        <v>52</v>
      </c>
      <c r="N59" s="12"/>
      <c r="O59" s="9"/>
    </row>
    <row r="60" spans="1:16" x14ac:dyDescent="0.25">
      <c r="A60" s="9">
        <v>399</v>
      </c>
      <c r="B60" s="12">
        <v>2250</v>
      </c>
      <c r="C60" s="12">
        <v>2649</v>
      </c>
      <c r="D60" s="12">
        <v>3048</v>
      </c>
      <c r="E60" s="12">
        <v>3447</v>
      </c>
      <c r="L60" s="12"/>
      <c r="M60" s="12"/>
      <c r="N60" s="12"/>
    </row>
    <row r="61" spans="1:16" x14ac:dyDescent="0.25">
      <c r="N61" s="12"/>
      <c r="O61" s="9"/>
    </row>
  </sheetData>
  <pageMargins left="0.25" right="0.25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AC16B-2103-4B3C-842F-AD9970838766}">
  <dimension ref="A1:Q61"/>
  <sheetViews>
    <sheetView zoomScale="80" zoomScaleNormal="80" zoomScaleSheetLayoutView="70" workbookViewId="0">
      <selection activeCell="G17" sqref="G17"/>
    </sheetView>
  </sheetViews>
  <sheetFormatPr defaultRowHeight="15" x14ac:dyDescent="0.25"/>
  <cols>
    <col min="1" max="1" width="39.42578125" style="9" customWidth="1"/>
    <col min="2" max="2" width="14.7109375" style="9" customWidth="1"/>
    <col min="3" max="3" width="15.7109375" style="9" customWidth="1"/>
    <col min="4" max="4" width="11.5703125" style="9" customWidth="1"/>
    <col min="5" max="5" width="15.5703125" style="9" customWidth="1"/>
    <col min="6" max="6" width="9.140625" style="9" customWidth="1"/>
    <col min="7" max="7" width="15.7109375" style="9" customWidth="1"/>
    <col min="8" max="8" width="9.140625" style="9" customWidth="1"/>
    <col min="9" max="9" width="15.7109375" style="9" customWidth="1"/>
    <col min="10" max="10" width="16" style="9" customWidth="1"/>
    <col min="11" max="11" width="16.42578125" style="9" customWidth="1"/>
    <col min="12" max="13" width="21" style="9" customWidth="1"/>
    <col min="14" max="14" width="12.140625" style="9" customWidth="1"/>
    <col min="15" max="15" width="20.85546875" style="12" customWidth="1"/>
    <col min="16" max="16" width="21" style="10" hidden="1" customWidth="1"/>
    <col min="17" max="17" width="13.5703125" style="9" customWidth="1"/>
    <col min="18" max="16384" width="9.140625" style="9"/>
  </cols>
  <sheetData>
    <row r="1" spans="1:17" x14ac:dyDescent="0.25">
      <c r="A1" s="51" t="s">
        <v>75</v>
      </c>
    </row>
    <row r="2" spans="1:17" ht="60" x14ac:dyDescent="0.25">
      <c r="A2" s="52"/>
      <c r="B2" s="53" t="s">
        <v>39</v>
      </c>
      <c r="C2" s="53"/>
      <c r="D2" s="53" t="s">
        <v>40</v>
      </c>
      <c r="E2" s="53"/>
      <c r="F2" s="53" t="s">
        <v>41</v>
      </c>
      <c r="G2" s="53"/>
      <c r="H2" s="53" t="s">
        <v>42</v>
      </c>
      <c r="I2" s="53"/>
      <c r="J2" s="53" t="s">
        <v>43</v>
      </c>
      <c r="K2" s="53"/>
      <c r="L2" s="89" t="s">
        <v>89</v>
      </c>
      <c r="M2" s="54" t="s">
        <v>69</v>
      </c>
      <c r="N2" s="54" t="s">
        <v>90</v>
      </c>
      <c r="O2" s="85" t="s">
        <v>83</v>
      </c>
      <c r="P2" s="55" t="str">
        <f>"FY 2020-21 
with "&amp;O2</f>
        <v>FY 2020-21 
with Guardrail Allocation
(-5%, 10%)</v>
      </c>
      <c r="Q2" s="54" t="s">
        <v>90</v>
      </c>
    </row>
    <row r="3" spans="1:17" x14ac:dyDescent="0.25">
      <c r="A3" s="56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90"/>
      <c r="M3" s="57"/>
      <c r="N3" s="58">
        <f>AVERAGE(N4:N15)</f>
        <v>9.7576906093080062E-2</v>
      </c>
      <c r="O3" s="86"/>
      <c r="P3" s="59"/>
      <c r="Q3" s="60"/>
    </row>
    <row r="4" spans="1:17" x14ac:dyDescent="0.25">
      <c r="A4" s="61" t="s">
        <v>22</v>
      </c>
      <c r="B4" s="62">
        <v>207.5</v>
      </c>
      <c r="C4" s="63">
        <f>B4*$B$51</f>
        <v>451312.5</v>
      </c>
      <c r="D4" s="62">
        <v>174.5</v>
      </c>
      <c r="E4" s="63">
        <f t="shared" ref="E4:E15" si="0">D4*$C$51</f>
        <v>449163</v>
      </c>
      <c r="F4" s="64">
        <v>125.5</v>
      </c>
      <c r="G4" s="63">
        <f t="shared" ref="G4:G15" si="1">F4*$D$51</f>
        <v>373111.5</v>
      </c>
      <c r="H4" s="64">
        <v>263.5</v>
      </c>
      <c r="I4" s="63">
        <f t="shared" ref="I4:I15" si="2">H4*$E$51</f>
        <v>888522</v>
      </c>
      <c r="J4" s="65">
        <v>7.5</v>
      </c>
      <c r="K4" s="63">
        <f t="shared" ref="K4:K15" si="3">J4*$B$51</f>
        <v>16312.5</v>
      </c>
      <c r="L4" s="91">
        <v>2259818</v>
      </c>
      <c r="M4" s="63">
        <f t="shared" ref="M4:M15" si="4">SUM(K4+I4+G4+E4+C4)</f>
        <v>2178421.5</v>
      </c>
      <c r="N4" s="66">
        <f t="shared" ref="N4:N15" si="5">(M4-L4)/L4</f>
        <v>-3.6019051091725089E-2</v>
      </c>
      <c r="O4" s="87">
        <f t="shared" ref="O4:O46" si="6">IF(N4&lt;-0.05,L4*0.95,IF(N4&gt;0.1,L4*1.1,M4))</f>
        <v>2178421.5</v>
      </c>
      <c r="P4" s="67">
        <f t="shared" ref="P4:P15" si="7">IF(O4=FALSE,M4,O4)</f>
        <v>2178421.5</v>
      </c>
      <c r="Q4" s="68">
        <f t="shared" ref="Q4:Q15" si="8">(P4-L4)/L4</f>
        <v>-3.6019051091725089E-2</v>
      </c>
    </row>
    <row r="5" spans="1:17" x14ac:dyDescent="0.25">
      <c r="A5" s="61" t="s">
        <v>23</v>
      </c>
      <c r="B5" s="62">
        <v>588</v>
      </c>
      <c r="C5" s="63">
        <f t="shared" ref="C5:C30" si="9">B5*$B$51</f>
        <v>1278900</v>
      </c>
      <c r="D5" s="62">
        <v>759.5</v>
      </c>
      <c r="E5" s="63">
        <f t="shared" si="0"/>
        <v>1954953</v>
      </c>
      <c r="F5" s="64">
        <v>574</v>
      </c>
      <c r="G5" s="63">
        <f t="shared" si="1"/>
        <v>1706502</v>
      </c>
      <c r="H5" s="64">
        <v>1157</v>
      </c>
      <c r="I5" s="63">
        <f t="shared" si="2"/>
        <v>3901404</v>
      </c>
      <c r="J5" s="65">
        <v>23</v>
      </c>
      <c r="K5" s="63">
        <f t="shared" si="3"/>
        <v>50025</v>
      </c>
      <c r="L5" s="91">
        <v>8358127</v>
      </c>
      <c r="M5" s="63">
        <f t="shared" si="4"/>
        <v>8891784</v>
      </c>
      <c r="N5" s="66">
        <f t="shared" si="5"/>
        <v>6.3848874275301157E-2</v>
      </c>
      <c r="O5" s="87">
        <f t="shared" si="6"/>
        <v>8891784</v>
      </c>
      <c r="P5" s="67">
        <f t="shared" si="7"/>
        <v>8891784</v>
      </c>
      <c r="Q5" s="68">
        <f t="shared" si="8"/>
        <v>6.3848874275301157E-2</v>
      </c>
    </row>
    <row r="6" spans="1:17" x14ac:dyDescent="0.25">
      <c r="A6" s="61" t="s">
        <v>25</v>
      </c>
      <c r="B6" s="62">
        <v>98.5</v>
      </c>
      <c r="C6" s="63">
        <f t="shared" si="9"/>
        <v>214237.5</v>
      </c>
      <c r="D6" s="62">
        <v>129.5</v>
      </c>
      <c r="E6" s="63">
        <f t="shared" si="0"/>
        <v>333333</v>
      </c>
      <c r="F6" s="64">
        <v>132.5</v>
      </c>
      <c r="G6" s="63">
        <f t="shared" si="1"/>
        <v>393922.5</v>
      </c>
      <c r="H6" s="64">
        <v>238.5</v>
      </c>
      <c r="I6" s="63">
        <f t="shared" si="2"/>
        <v>804222</v>
      </c>
      <c r="J6" s="65">
        <v>5.5</v>
      </c>
      <c r="K6" s="63">
        <f t="shared" si="3"/>
        <v>11962.5</v>
      </c>
      <c r="L6" s="91">
        <v>1618343</v>
      </c>
      <c r="M6" s="63">
        <f t="shared" si="4"/>
        <v>1757677.5</v>
      </c>
      <c r="N6" s="66">
        <f t="shared" si="5"/>
        <v>8.6097014044612299E-2</v>
      </c>
      <c r="O6" s="87">
        <f t="shared" si="6"/>
        <v>1757677.5</v>
      </c>
      <c r="P6" s="67">
        <f t="shared" si="7"/>
        <v>1757677.5</v>
      </c>
      <c r="Q6" s="68">
        <f t="shared" si="8"/>
        <v>8.6097014044612299E-2</v>
      </c>
    </row>
    <row r="7" spans="1:17" x14ac:dyDescent="0.25">
      <c r="A7" s="61" t="s">
        <v>26</v>
      </c>
      <c r="B7" s="62">
        <v>1176.5</v>
      </c>
      <c r="C7" s="63">
        <f t="shared" si="9"/>
        <v>2558887.5</v>
      </c>
      <c r="D7" s="62">
        <v>1033</v>
      </c>
      <c r="E7" s="63">
        <f t="shared" si="0"/>
        <v>2658942</v>
      </c>
      <c r="F7" s="64">
        <v>1241.5</v>
      </c>
      <c r="G7" s="63">
        <f t="shared" si="1"/>
        <v>3690979.5</v>
      </c>
      <c r="H7" s="64">
        <v>1680.5</v>
      </c>
      <c r="I7" s="63">
        <f t="shared" si="2"/>
        <v>5666646</v>
      </c>
      <c r="J7" s="65">
        <v>15</v>
      </c>
      <c r="K7" s="63">
        <f t="shared" si="3"/>
        <v>32625</v>
      </c>
      <c r="L7" s="91">
        <v>13125938</v>
      </c>
      <c r="M7" s="63">
        <f t="shared" si="4"/>
        <v>14608080</v>
      </c>
      <c r="N7" s="66">
        <f t="shared" si="5"/>
        <v>0.11291703495780644</v>
      </c>
      <c r="O7" s="87">
        <f t="shared" si="6"/>
        <v>14438531.800000001</v>
      </c>
      <c r="P7" s="67">
        <f t="shared" si="7"/>
        <v>14438531.800000001</v>
      </c>
      <c r="Q7" s="68">
        <f t="shared" si="8"/>
        <v>0.10000000000000006</v>
      </c>
    </row>
    <row r="8" spans="1:17" x14ac:dyDescent="0.25">
      <c r="A8" s="61" t="s">
        <v>27</v>
      </c>
      <c r="B8" s="62">
        <v>298.5</v>
      </c>
      <c r="C8" s="63">
        <f t="shared" si="9"/>
        <v>649237.5</v>
      </c>
      <c r="D8" s="62">
        <v>336.5</v>
      </c>
      <c r="E8" s="63">
        <f t="shared" si="0"/>
        <v>866151</v>
      </c>
      <c r="F8" s="64">
        <v>356</v>
      </c>
      <c r="G8" s="63">
        <f t="shared" si="1"/>
        <v>1058388</v>
      </c>
      <c r="H8" s="64">
        <v>687</v>
      </c>
      <c r="I8" s="63">
        <f t="shared" si="2"/>
        <v>2316564</v>
      </c>
      <c r="J8" s="65">
        <v>13</v>
      </c>
      <c r="K8" s="63">
        <f t="shared" si="3"/>
        <v>28275</v>
      </c>
      <c r="L8" s="91">
        <v>4579037</v>
      </c>
      <c r="M8" s="63">
        <f t="shared" si="4"/>
        <v>4918615.5</v>
      </c>
      <c r="N8" s="66">
        <f t="shared" si="5"/>
        <v>7.4159370190719137E-2</v>
      </c>
      <c r="O8" s="87">
        <f t="shared" si="6"/>
        <v>4918615.5</v>
      </c>
      <c r="P8" s="67">
        <f t="shared" si="7"/>
        <v>4918615.5</v>
      </c>
      <c r="Q8" s="68">
        <f t="shared" si="8"/>
        <v>7.4159370190719137E-2</v>
      </c>
    </row>
    <row r="9" spans="1:17" x14ac:dyDescent="0.25">
      <c r="A9" s="61" t="s">
        <v>28</v>
      </c>
      <c r="B9" s="62">
        <v>64.5</v>
      </c>
      <c r="C9" s="63">
        <f t="shared" si="9"/>
        <v>140287.5</v>
      </c>
      <c r="D9" s="62">
        <v>97.5</v>
      </c>
      <c r="E9" s="63">
        <f t="shared" si="0"/>
        <v>250965</v>
      </c>
      <c r="F9" s="64">
        <v>110.5</v>
      </c>
      <c r="G9" s="63">
        <f t="shared" si="1"/>
        <v>328516.5</v>
      </c>
      <c r="H9" s="64">
        <v>212</v>
      </c>
      <c r="I9" s="63">
        <f t="shared" si="2"/>
        <v>714864</v>
      </c>
      <c r="J9" s="65">
        <v>2</v>
      </c>
      <c r="K9" s="63">
        <f t="shared" si="3"/>
        <v>4350</v>
      </c>
      <c r="L9" s="91">
        <v>1497559</v>
      </c>
      <c r="M9" s="63">
        <f t="shared" si="4"/>
        <v>1438983</v>
      </c>
      <c r="N9" s="66">
        <f t="shared" si="5"/>
        <v>-3.9114318701299916E-2</v>
      </c>
      <c r="O9" s="87">
        <f t="shared" si="6"/>
        <v>1438983</v>
      </c>
      <c r="P9" s="67">
        <f t="shared" si="7"/>
        <v>1438983</v>
      </c>
      <c r="Q9" s="68">
        <f t="shared" si="8"/>
        <v>-3.9114318701299916E-2</v>
      </c>
    </row>
    <row r="10" spans="1:17" x14ac:dyDescent="0.25">
      <c r="A10" s="61" t="s">
        <v>29</v>
      </c>
      <c r="B10" s="62">
        <v>1454</v>
      </c>
      <c r="C10" s="63">
        <f t="shared" si="9"/>
        <v>3162450</v>
      </c>
      <c r="D10" s="62">
        <v>1421</v>
      </c>
      <c r="E10" s="63">
        <f t="shared" si="0"/>
        <v>3657654</v>
      </c>
      <c r="F10" s="64">
        <v>1629.5</v>
      </c>
      <c r="G10" s="63">
        <f t="shared" si="1"/>
        <v>4844503.5</v>
      </c>
      <c r="H10" s="64">
        <v>3412.5</v>
      </c>
      <c r="I10" s="63">
        <f t="shared" si="2"/>
        <v>11506950</v>
      </c>
      <c r="J10" s="62">
        <v>24.5</v>
      </c>
      <c r="K10" s="63">
        <f t="shared" si="3"/>
        <v>53287.5</v>
      </c>
      <c r="L10" s="91">
        <v>20913437</v>
      </c>
      <c r="M10" s="63">
        <f t="shared" si="4"/>
        <v>23224845</v>
      </c>
      <c r="N10" s="66">
        <f t="shared" si="5"/>
        <v>0.11052262715114688</v>
      </c>
      <c r="O10" s="87">
        <f t="shared" si="6"/>
        <v>23004780.700000003</v>
      </c>
      <c r="P10" s="67">
        <f t="shared" si="7"/>
        <v>23004780.700000003</v>
      </c>
      <c r="Q10" s="68">
        <f t="shared" si="8"/>
        <v>0.10000000000000014</v>
      </c>
    </row>
    <row r="11" spans="1:17" x14ac:dyDescent="0.25">
      <c r="A11" s="61" t="s">
        <v>30</v>
      </c>
      <c r="B11" s="62">
        <v>583.5</v>
      </c>
      <c r="C11" s="63">
        <f t="shared" si="9"/>
        <v>1269112.5</v>
      </c>
      <c r="D11" s="62">
        <v>819</v>
      </c>
      <c r="E11" s="63">
        <f t="shared" si="0"/>
        <v>2108106</v>
      </c>
      <c r="F11" s="64">
        <v>898</v>
      </c>
      <c r="G11" s="63">
        <f t="shared" si="1"/>
        <v>2669754</v>
      </c>
      <c r="H11" s="64">
        <v>1986.5</v>
      </c>
      <c r="I11" s="63">
        <f t="shared" si="2"/>
        <v>6698478</v>
      </c>
      <c r="J11" s="65">
        <v>13.5</v>
      </c>
      <c r="K11" s="63">
        <f t="shared" si="3"/>
        <v>29362.5</v>
      </c>
      <c r="L11" s="91">
        <v>10546316</v>
      </c>
      <c r="M11" s="63">
        <f t="shared" si="4"/>
        <v>12774813</v>
      </c>
      <c r="N11" s="66">
        <f t="shared" si="5"/>
        <v>0.21130572988709992</v>
      </c>
      <c r="O11" s="87">
        <f t="shared" si="6"/>
        <v>11600947.600000001</v>
      </c>
      <c r="P11" s="67">
        <f t="shared" si="7"/>
        <v>11600947.600000001</v>
      </c>
      <c r="Q11" s="68">
        <f t="shared" si="8"/>
        <v>0.10000000000000014</v>
      </c>
    </row>
    <row r="12" spans="1:17" x14ac:dyDescent="0.25">
      <c r="A12" s="61" t="s">
        <v>31</v>
      </c>
      <c r="B12" s="62">
        <v>587.5</v>
      </c>
      <c r="C12" s="63">
        <f t="shared" si="9"/>
        <v>1277812.5</v>
      </c>
      <c r="D12" s="62">
        <v>620</v>
      </c>
      <c r="E12" s="63">
        <f t="shared" si="0"/>
        <v>1595880</v>
      </c>
      <c r="F12" s="64">
        <v>677</v>
      </c>
      <c r="G12" s="63">
        <f t="shared" si="1"/>
        <v>2012721</v>
      </c>
      <c r="H12" s="64">
        <v>1562</v>
      </c>
      <c r="I12" s="63">
        <f t="shared" si="2"/>
        <v>5267064</v>
      </c>
      <c r="J12" s="65">
        <v>29.5</v>
      </c>
      <c r="K12" s="63">
        <f t="shared" si="3"/>
        <v>64162.5</v>
      </c>
      <c r="L12" s="91">
        <v>8941951</v>
      </c>
      <c r="M12" s="63">
        <f t="shared" si="4"/>
        <v>10217640</v>
      </c>
      <c r="N12" s="66">
        <f t="shared" si="5"/>
        <v>0.14266338520530922</v>
      </c>
      <c r="O12" s="87">
        <f t="shared" si="6"/>
        <v>9836146.1000000015</v>
      </c>
      <c r="P12" s="67">
        <f t="shared" si="7"/>
        <v>9836146.1000000015</v>
      </c>
      <c r="Q12" s="68">
        <f t="shared" si="8"/>
        <v>0.10000000000000017</v>
      </c>
    </row>
    <row r="13" spans="1:17" x14ac:dyDescent="0.25">
      <c r="A13" s="61" t="s">
        <v>32</v>
      </c>
      <c r="B13" s="62">
        <v>613.5</v>
      </c>
      <c r="C13" s="63">
        <f t="shared" si="9"/>
        <v>1334362.5</v>
      </c>
      <c r="D13" s="62">
        <v>729.5</v>
      </c>
      <c r="E13" s="63">
        <f t="shared" si="0"/>
        <v>1877733</v>
      </c>
      <c r="F13" s="64">
        <v>1063.5</v>
      </c>
      <c r="G13" s="63">
        <f t="shared" si="1"/>
        <v>3161785.5</v>
      </c>
      <c r="H13" s="64">
        <v>2048.5</v>
      </c>
      <c r="I13" s="63">
        <f t="shared" si="2"/>
        <v>6907542</v>
      </c>
      <c r="J13" s="65">
        <v>9.5</v>
      </c>
      <c r="K13" s="63">
        <f t="shared" si="3"/>
        <v>20662.5</v>
      </c>
      <c r="L13" s="91">
        <v>11286802</v>
      </c>
      <c r="M13" s="63">
        <f t="shared" si="4"/>
        <v>13302085.5</v>
      </c>
      <c r="N13" s="66">
        <f t="shared" si="5"/>
        <v>0.17855221523333181</v>
      </c>
      <c r="O13" s="87">
        <f t="shared" si="6"/>
        <v>12415482.200000001</v>
      </c>
      <c r="P13" s="67">
        <f t="shared" si="7"/>
        <v>12415482.200000001</v>
      </c>
      <c r="Q13" s="68">
        <f t="shared" si="8"/>
        <v>0.1000000000000001</v>
      </c>
    </row>
    <row r="14" spans="1:17" x14ac:dyDescent="0.25">
      <c r="A14" s="61" t="s">
        <v>33</v>
      </c>
      <c r="B14" s="62">
        <v>647</v>
      </c>
      <c r="C14" s="63">
        <f t="shared" si="9"/>
        <v>1407225</v>
      </c>
      <c r="D14" s="62">
        <v>527</v>
      </c>
      <c r="E14" s="63">
        <f t="shared" si="0"/>
        <v>1356498</v>
      </c>
      <c r="F14" s="64">
        <v>635.5</v>
      </c>
      <c r="G14" s="63">
        <f t="shared" si="1"/>
        <v>1889341.5</v>
      </c>
      <c r="H14" s="64">
        <v>1298.5</v>
      </c>
      <c r="I14" s="63">
        <f t="shared" si="2"/>
        <v>4378542</v>
      </c>
      <c r="J14" s="65">
        <v>3</v>
      </c>
      <c r="K14" s="63">
        <f t="shared" si="3"/>
        <v>6525</v>
      </c>
      <c r="L14" s="91">
        <v>7280013</v>
      </c>
      <c r="M14" s="63">
        <f t="shared" si="4"/>
        <v>9038131.5</v>
      </c>
      <c r="N14" s="66">
        <f t="shared" si="5"/>
        <v>0.24149936270718197</v>
      </c>
      <c r="O14" s="87">
        <f t="shared" si="6"/>
        <v>8008014.3000000007</v>
      </c>
      <c r="P14" s="67">
        <f t="shared" si="7"/>
        <v>8008014.3000000007</v>
      </c>
      <c r="Q14" s="68">
        <f t="shared" si="8"/>
        <v>0.1000000000000001</v>
      </c>
    </row>
    <row r="15" spans="1:17" x14ac:dyDescent="0.25">
      <c r="A15" s="61" t="s">
        <v>34</v>
      </c>
      <c r="B15" s="62">
        <v>71.5</v>
      </c>
      <c r="C15" s="63">
        <f t="shared" si="9"/>
        <v>155512.5</v>
      </c>
      <c r="D15" s="62">
        <v>99</v>
      </c>
      <c r="E15" s="63">
        <f t="shared" si="0"/>
        <v>254826</v>
      </c>
      <c r="F15" s="64">
        <v>92.5</v>
      </c>
      <c r="G15" s="63">
        <f t="shared" si="1"/>
        <v>275002.5</v>
      </c>
      <c r="H15" s="64">
        <v>194.5</v>
      </c>
      <c r="I15" s="63">
        <f t="shared" si="2"/>
        <v>655854</v>
      </c>
      <c r="J15" s="65">
        <v>0.5</v>
      </c>
      <c r="K15" s="63">
        <f t="shared" si="3"/>
        <v>1087.5</v>
      </c>
      <c r="L15" s="91">
        <v>1310195</v>
      </c>
      <c r="M15" s="63">
        <f t="shared" si="4"/>
        <v>1342282.5</v>
      </c>
      <c r="N15" s="66">
        <f t="shared" si="5"/>
        <v>2.4490629257476939E-2</v>
      </c>
      <c r="O15" s="87">
        <f t="shared" si="6"/>
        <v>1342282.5</v>
      </c>
      <c r="P15" s="67">
        <f t="shared" si="7"/>
        <v>1342282.5</v>
      </c>
      <c r="Q15" s="68">
        <f t="shared" si="8"/>
        <v>2.4490629257476939E-2</v>
      </c>
    </row>
    <row r="16" spans="1:17" x14ac:dyDescent="0.25">
      <c r="A16" s="69"/>
      <c r="B16" s="65"/>
      <c r="C16" s="63">
        <f t="shared" si="9"/>
        <v>0</v>
      </c>
      <c r="D16" s="62"/>
      <c r="E16" s="63"/>
      <c r="F16" s="65"/>
      <c r="G16" s="63"/>
      <c r="H16" s="65"/>
      <c r="I16" s="63"/>
      <c r="J16" s="65"/>
      <c r="K16" s="63"/>
      <c r="L16" s="92"/>
      <c r="M16" s="63"/>
      <c r="N16" s="66"/>
      <c r="O16" s="87">
        <f t="shared" si="6"/>
        <v>0</v>
      </c>
      <c r="P16" s="67"/>
      <c r="Q16" s="68"/>
    </row>
    <row r="17" spans="1:17" x14ac:dyDescent="0.25">
      <c r="A17" s="70" t="s">
        <v>45</v>
      </c>
      <c r="B17" s="65"/>
      <c r="C17" s="63">
        <f t="shared" si="9"/>
        <v>0</v>
      </c>
      <c r="D17" s="6"/>
      <c r="E17" s="63"/>
      <c r="F17" s="65"/>
      <c r="G17" s="63"/>
      <c r="H17" s="65"/>
      <c r="I17" s="63"/>
      <c r="J17" s="65"/>
      <c r="K17" s="63"/>
      <c r="L17" s="92"/>
      <c r="M17" s="63"/>
      <c r="N17" s="66"/>
      <c r="O17" s="87">
        <f t="shared" si="6"/>
        <v>0</v>
      </c>
      <c r="P17" s="67"/>
      <c r="Q17" s="68"/>
    </row>
    <row r="18" spans="1:17" x14ac:dyDescent="0.25">
      <c r="A18" s="61" t="s">
        <v>2</v>
      </c>
      <c r="B18" s="62">
        <v>528.5</v>
      </c>
      <c r="C18" s="63">
        <f t="shared" si="9"/>
        <v>1149487.5</v>
      </c>
      <c r="D18" s="64">
        <v>603.5</v>
      </c>
      <c r="E18" s="63">
        <f t="shared" ref="E18:E30" si="10">D18*$C$51</f>
        <v>1553409</v>
      </c>
      <c r="F18" s="62">
        <v>3</v>
      </c>
      <c r="G18" s="71">
        <f t="shared" ref="G18" si="11">F18*$D$51</f>
        <v>8919</v>
      </c>
      <c r="H18" s="62"/>
      <c r="I18" s="63"/>
      <c r="J18" s="72"/>
      <c r="K18" s="63"/>
      <c r="L18" s="91">
        <v>3004148</v>
      </c>
      <c r="M18" s="63">
        <f t="shared" ref="M18:M30" si="12">SUM(K18+I18+G18+E18+C18)</f>
        <v>2711815.5</v>
      </c>
      <c r="N18" s="66">
        <f t="shared" ref="N18:N30" si="13">(M18-L18)/L18</f>
        <v>-9.7309619898886479E-2</v>
      </c>
      <c r="O18" s="87">
        <f t="shared" si="6"/>
        <v>2853940.6</v>
      </c>
      <c r="P18" s="67">
        <f t="shared" ref="P18:P30" si="14">IF(O18=FALSE,M18,O18)</f>
        <v>2853940.6</v>
      </c>
      <c r="Q18" s="68">
        <f t="shared" ref="Q18:Q30" si="15">(P18-L18)/L18</f>
        <v>-4.9999999999999968E-2</v>
      </c>
    </row>
    <row r="19" spans="1:17" x14ac:dyDescent="0.25">
      <c r="A19" s="61" t="s">
        <v>3</v>
      </c>
      <c r="B19" s="62">
        <v>58.5</v>
      </c>
      <c r="C19" s="63">
        <f t="shared" si="9"/>
        <v>127237.5</v>
      </c>
      <c r="D19" s="64">
        <v>145</v>
      </c>
      <c r="E19" s="63">
        <f t="shared" si="10"/>
        <v>373230</v>
      </c>
      <c r="F19" s="62"/>
      <c r="G19" s="71"/>
      <c r="H19" s="62"/>
      <c r="I19" s="63"/>
      <c r="J19" s="72"/>
      <c r="K19" s="63"/>
      <c r="L19" s="91">
        <v>476475</v>
      </c>
      <c r="M19" s="63">
        <f t="shared" si="12"/>
        <v>500467.5</v>
      </c>
      <c r="N19" s="66">
        <f t="shared" si="13"/>
        <v>5.0354163387376041E-2</v>
      </c>
      <c r="O19" s="87">
        <f t="shared" si="6"/>
        <v>500467.5</v>
      </c>
      <c r="P19" s="67">
        <f t="shared" si="14"/>
        <v>500467.5</v>
      </c>
      <c r="Q19" s="68">
        <f t="shared" si="15"/>
        <v>5.0354163387376041E-2</v>
      </c>
    </row>
    <row r="20" spans="1:17" x14ac:dyDescent="0.25">
      <c r="A20" s="61" t="s">
        <v>4</v>
      </c>
      <c r="B20" s="62">
        <v>737</v>
      </c>
      <c r="C20" s="63">
        <f t="shared" si="9"/>
        <v>1602975</v>
      </c>
      <c r="D20" s="64">
        <v>824.5</v>
      </c>
      <c r="E20" s="63">
        <f t="shared" si="10"/>
        <v>2122263</v>
      </c>
      <c r="F20" s="62"/>
      <c r="G20" s="71"/>
      <c r="H20" s="62"/>
      <c r="I20" s="63"/>
      <c r="J20" s="72"/>
      <c r="K20" s="63"/>
      <c r="L20" s="91">
        <v>3851839</v>
      </c>
      <c r="M20" s="63">
        <f t="shared" si="12"/>
        <v>3725238</v>
      </c>
      <c r="N20" s="66">
        <f t="shared" si="13"/>
        <v>-3.2867676971960663E-2</v>
      </c>
      <c r="O20" s="87">
        <f t="shared" si="6"/>
        <v>3725238</v>
      </c>
      <c r="P20" s="67">
        <f t="shared" si="14"/>
        <v>3725238</v>
      </c>
      <c r="Q20" s="68">
        <f t="shared" si="15"/>
        <v>-3.2867676971960663E-2</v>
      </c>
    </row>
    <row r="21" spans="1:17" x14ac:dyDescent="0.25">
      <c r="A21" s="61" t="s">
        <v>5</v>
      </c>
      <c r="B21" s="62">
        <v>1169.5</v>
      </c>
      <c r="C21" s="63">
        <f t="shared" si="9"/>
        <v>2543662.5</v>
      </c>
      <c r="D21" s="64">
        <v>1049</v>
      </c>
      <c r="E21" s="63">
        <f t="shared" si="10"/>
        <v>2700126</v>
      </c>
      <c r="F21" s="62"/>
      <c r="G21" s="71"/>
      <c r="H21" s="62">
        <v>1.5</v>
      </c>
      <c r="I21" s="71">
        <f>H21*$E$51</f>
        <v>5058</v>
      </c>
      <c r="J21" s="72">
        <v>0.5</v>
      </c>
      <c r="K21" s="63"/>
      <c r="L21" s="91">
        <v>5340274</v>
      </c>
      <c r="M21" s="63">
        <f t="shared" si="12"/>
        <v>5248846.5</v>
      </c>
      <c r="N21" s="66">
        <f t="shared" si="13"/>
        <v>-1.7120376220396184E-2</v>
      </c>
      <c r="O21" s="87">
        <f t="shared" si="6"/>
        <v>5248846.5</v>
      </c>
      <c r="P21" s="67">
        <f t="shared" si="14"/>
        <v>5248846.5</v>
      </c>
      <c r="Q21" s="68">
        <f t="shared" si="15"/>
        <v>-1.7120376220396184E-2</v>
      </c>
    </row>
    <row r="22" spans="1:17" x14ac:dyDescent="0.25">
      <c r="A22" s="61" t="s">
        <v>6</v>
      </c>
      <c r="B22" s="62">
        <v>1706</v>
      </c>
      <c r="C22" s="63">
        <f t="shared" si="9"/>
        <v>3710550</v>
      </c>
      <c r="D22" s="64">
        <v>1904.5</v>
      </c>
      <c r="E22" s="63">
        <f t="shared" si="10"/>
        <v>4902183</v>
      </c>
      <c r="F22" s="62"/>
      <c r="G22" s="71"/>
      <c r="H22" s="62"/>
      <c r="I22" s="71"/>
      <c r="J22" s="72"/>
      <c r="K22" s="63"/>
      <c r="L22" s="91">
        <v>8960400</v>
      </c>
      <c r="M22" s="63">
        <f t="shared" si="12"/>
        <v>8612733</v>
      </c>
      <c r="N22" s="66">
        <f t="shared" si="13"/>
        <v>-3.8800388375518947E-2</v>
      </c>
      <c r="O22" s="87">
        <f t="shared" si="6"/>
        <v>8612733</v>
      </c>
      <c r="P22" s="67">
        <f t="shared" si="14"/>
        <v>8612733</v>
      </c>
      <c r="Q22" s="68">
        <f t="shared" si="15"/>
        <v>-3.8800388375518947E-2</v>
      </c>
    </row>
    <row r="23" spans="1:17" x14ac:dyDescent="0.25">
      <c r="A23" s="61" t="s">
        <v>7</v>
      </c>
      <c r="B23" s="62">
        <v>94</v>
      </c>
      <c r="C23" s="63">
        <f t="shared" si="9"/>
        <v>204450</v>
      </c>
      <c r="D23" s="64">
        <v>150.5</v>
      </c>
      <c r="E23" s="63">
        <f t="shared" si="10"/>
        <v>387387</v>
      </c>
      <c r="F23" s="62"/>
      <c r="G23" s="71"/>
      <c r="H23" s="62"/>
      <c r="I23" s="71"/>
      <c r="J23" s="72"/>
      <c r="K23" s="63"/>
      <c r="L23" s="91">
        <v>534912</v>
      </c>
      <c r="M23" s="63">
        <f t="shared" si="12"/>
        <v>591837</v>
      </c>
      <c r="N23" s="66">
        <f t="shared" si="13"/>
        <v>0.10641937365398421</v>
      </c>
      <c r="O23" s="87">
        <f t="shared" si="6"/>
        <v>588403.20000000007</v>
      </c>
      <c r="P23" s="67">
        <f t="shared" si="14"/>
        <v>588403.20000000007</v>
      </c>
      <c r="Q23" s="68">
        <f t="shared" si="15"/>
        <v>0.10000000000000013</v>
      </c>
    </row>
    <row r="24" spans="1:17" x14ac:dyDescent="0.25">
      <c r="A24" s="61" t="s">
        <v>8</v>
      </c>
      <c r="B24" s="62">
        <v>76.5</v>
      </c>
      <c r="C24" s="63">
        <f t="shared" si="9"/>
        <v>166387.5</v>
      </c>
      <c r="D24" s="64">
        <v>151.5</v>
      </c>
      <c r="E24" s="63">
        <f t="shared" si="10"/>
        <v>389961</v>
      </c>
      <c r="F24" s="62"/>
      <c r="G24" s="71"/>
      <c r="H24" s="62"/>
      <c r="I24" s="71"/>
      <c r="J24" s="72"/>
      <c r="K24" s="63"/>
      <c r="L24" s="91">
        <v>657553</v>
      </c>
      <c r="M24" s="63">
        <f t="shared" si="12"/>
        <v>556348.5</v>
      </c>
      <c r="N24" s="66">
        <f t="shared" si="13"/>
        <v>-0.15391078741941713</v>
      </c>
      <c r="O24" s="87">
        <f t="shared" si="6"/>
        <v>624675.35</v>
      </c>
      <c r="P24" s="67">
        <f t="shared" si="14"/>
        <v>624675.35</v>
      </c>
      <c r="Q24" s="68">
        <f t="shared" si="15"/>
        <v>-5.0000000000000037E-2</v>
      </c>
    </row>
    <row r="25" spans="1:17" x14ac:dyDescent="0.25">
      <c r="A25" s="61" t="s">
        <v>9</v>
      </c>
      <c r="B25" s="62">
        <v>127.5</v>
      </c>
      <c r="C25" s="63">
        <f t="shared" si="9"/>
        <v>277312.5</v>
      </c>
      <c r="D25" s="64">
        <v>227</v>
      </c>
      <c r="E25" s="63">
        <f t="shared" si="10"/>
        <v>584298</v>
      </c>
      <c r="F25" s="62"/>
      <c r="G25" s="71"/>
      <c r="H25" s="62"/>
      <c r="I25" s="71"/>
      <c r="J25" s="72"/>
      <c r="K25" s="63"/>
      <c r="L25" s="91">
        <v>866153</v>
      </c>
      <c r="M25" s="63">
        <f t="shared" si="12"/>
        <v>861610.5</v>
      </c>
      <c r="N25" s="66">
        <f t="shared" si="13"/>
        <v>-5.2444545016873461E-3</v>
      </c>
      <c r="O25" s="87">
        <f t="shared" si="6"/>
        <v>861610.5</v>
      </c>
      <c r="P25" s="67">
        <f t="shared" si="14"/>
        <v>861610.5</v>
      </c>
      <c r="Q25" s="68">
        <f t="shared" si="15"/>
        <v>-5.2444545016873461E-3</v>
      </c>
    </row>
    <row r="26" spans="1:17" x14ac:dyDescent="0.25">
      <c r="A26" s="61" t="s">
        <v>10</v>
      </c>
      <c r="B26" s="62">
        <v>146</v>
      </c>
      <c r="C26" s="63">
        <f t="shared" si="9"/>
        <v>317550</v>
      </c>
      <c r="D26" s="64">
        <v>309.5</v>
      </c>
      <c r="E26" s="63">
        <f t="shared" si="10"/>
        <v>796653</v>
      </c>
      <c r="F26" s="62"/>
      <c r="G26" s="71"/>
      <c r="H26" s="62"/>
      <c r="I26" s="71"/>
      <c r="J26" s="72"/>
      <c r="K26" s="63"/>
      <c r="L26" s="91">
        <v>1026685</v>
      </c>
      <c r="M26" s="63">
        <f t="shared" si="12"/>
        <v>1114203</v>
      </c>
      <c r="N26" s="66">
        <f t="shared" si="13"/>
        <v>8.5243282993323177E-2</v>
      </c>
      <c r="O26" s="87">
        <f t="shared" si="6"/>
        <v>1114203</v>
      </c>
      <c r="P26" s="67">
        <f t="shared" si="14"/>
        <v>1114203</v>
      </c>
      <c r="Q26" s="68">
        <f t="shared" si="15"/>
        <v>8.5243282993323177E-2</v>
      </c>
    </row>
    <row r="27" spans="1:17" x14ac:dyDescent="0.25">
      <c r="A27" s="61" t="s">
        <v>11</v>
      </c>
      <c r="B27" s="62">
        <v>1970</v>
      </c>
      <c r="C27" s="63">
        <f t="shared" si="9"/>
        <v>4284750</v>
      </c>
      <c r="D27" s="64">
        <v>2652.5</v>
      </c>
      <c r="E27" s="63">
        <f t="shared" si="10"/>
        <v>6827535</v>
      </c>
      <c r="F27" s="62">
        <v>2</v>
      </c>
      <c r="G27" s="71">
        <f>F27*$D$51</f>
        <v>5946</v>
      </c>
      <c r="H27" s="62">
        <v>2</v>
      </c>
      <c r="I27" s="71"/>
      <c r="J27" s="72">
        <v>1</v>
      </c>
      <c r="K27" s="63"/>
      <c r="L27" s="91">
        <v>9993071</v>
      </c>
      <c r="M27" s="63">
        <f t="shared" si="12"/>
        <v>11118231</v>
      </c>
      <c r="N27" s="66">
        <f t="shared" si="13"/>
        <v>0.11259401639395937</v>
      </c>
      <c r="O27" s="87">
        <f t="shared" si="6"/>
        <v>10992378.100000001</v>
      </c>
      <c r="P27" s="67">
        <f t="shared" si="14"/>
        <v>10992378.100000001</v>
      </c>
      <c r="Q27" s="68">
        <f t="shared" si="15"/>
        <v>0.10000000000000014</v>
      </c>
    </row>
    <row r="28" spans="1:17" x14ac:dyDescent="0.25">
      <c r="A28" s="61" t="s">
        <v>12</v>
      </c>
      <c r="B28" s="62">
        <v>869.5</v>
      </c>
      <c r="C28" s="63">
        <f t="shared" si="9"/>
        <v>1891162.5</v>
      </c>
      <c r="D28" s="64">
        <v>1000.5</v>
      </c>
      <c r="E28" s="63">
        <f t="shared" si="10"/>
        <v>2575287</v>
      </c>
      <c r="F28" s="62"/>
      <c r="G28" s="71"/>
      <c r="H28" s="62">
        <v>7.5</v>
      </c>
      <c r="I28" s="71">
        <f t="shared" ref="I28:I29" si="16">H28*$E$51</f>
        <v>25290</v>
      </c>
      <c r="J28" s="72">
        <v>1</v>
      </c>
      <c r="K28" s="63"/>
      <c r="L28" s="91">
        <v>4756617</v>
      </c>
      <c r="M28" s="63">
        <f t="shared" si="12"/>
        <v>4491739.5</v>
      </c>
      <c r="N28" s="66">
        <f t="shared" si="13"/>
        <v>-5.5686110527713287E-2</v>
      </c>
      <c r="O28" s="87">
        <f t="shared" si="6"/>
        <v>4518786.1499999994</v>
      </c>
      <c r="P28" s="67">
        <f t="shared" si="14"/>
        <v>4518786.1499999994</v>
      </c>
      <c r="Q28" s="68">
        <f t="shared" si="15"/>
        <v>-5.0000000000000121E-2</v>
      </c>
    </row>
    <row r="29" spans="1:17" x14ac:dyDescent="0.25">
      <c r="A29" s="61" t="s">
        <v>13</v>
      </c>
      <c r="B29" s="62">
        <v>692.5</v>
      </c>
      <c r="C29" s="63">
        <f t="shared" si="9"/>
        <v>1506187.5</v>
      </c>
      <c r="D29" s="64">
        <v>871.5</v>
      </c>
      <c r="E29" s="63">
        <f t="shared" si="10"/>
        <v>2243241</v>
      </c>
      <c r="F29" s="62">
        <v>1</v>
      </c>
      <c r="G29" s="71">
        <f t="shared" ref="G29" si="17">F29*$D$51</f>
        <v>2973</v>
      </c>
      <c r="H29" s="62">
        <v>2</v>
      </c>
      <c r="I29" s="71">
        <f t="shared" si="16"/>
        <v>6744</v>
      </c>
      <c r="J29" s="72"/>
      <c r="K29" s="63"/>
      <c r="L29" s="91">
        <v>3816273</v>
      </c>
      <c r="M29" s="63">
        <f t="shared" si="12"/>
        <v>3759145.5</v>
      </c>
      <c r="N29" s="66">
        <f t="shared" si="13"/>
        <v>-1.4969447940438224E-2</v>
      </c>
      <c r="O29" s="87">
        <f t="shared" si="6"/>
        <v>3759145.5</v>
      </c>
      <c r="P29" s="67">
        <f t="shared" si="14"/>
        <v>3759145.5</v>
      </c>
      <c r="Q29" s="68">
        <f t="shared" si="15"/>
        <v>-1.4969447940438224E-2</v>
      </c>
    </row>
    <row r="30" spans="1:17" x14ac:dyDescent="0.25">
      <c r="A30" s="61" t="s">
        <v>14</v>
      </c>
      <c r="B30" s="62">
        <v>135.5</v>
      </c>
      <c r="C30" s="63">
        <f t="shared" si="9"/>
        <v>294712.5</v>
      </c>
      <c r="D30" s="64">
        <v>375</v>
      </c>
      <c r="E30" s="63">
        <f t="shared" si="10"/>
        <v>965250</v>
      </c>
      <c r="F30" s="62"/>
      <c r="G30" s="63"/>
      <c r="H30" s="62"/>
      <c r="I30" s="63"/>
      <c r="J30" s="72">
        <v>2.5</v>
      </c>
      <c r="K30" s="63"/>
      <c r="L30" s="91">
        <v>1172874</v>
      </c>
      <c r="M30" s="63">
        <f t="shared" si="12"/>
        <v>1259962.5</v>
      </c>
      <c r="N30" s="66">
        <f t="shared" si="13"/>
        <v>7.4252221466244453E-2</v>
      </c>
      <c r="O30" s="87">
        <f t="shared" si="6"/>
        <v>1259962.5</v>
      </c>
      <c r="P30" s="67">
        <f t="shared" si="14"/>
        <v>1259962.5</v>
      </c>
      <c r="Q30" s="68">
        <f t="shared" si="15"/>
        <v>7.4252221466244453E-2</v>
      </c>
    </row>
    <row r="31" spans="1:17" x14ac:dyDescent="0.25">
      <c r="A31" s="69"/>
      <c r="B31" s="65"/>
      <c r="C31" s="63"/>
      <c r="D31" s="62"/>
      <c r="E31" s="63"/>
      <c r="F31" s="65"/>
      <c r="G31" s="63"/>
      <c r="H31" s="65"/>
      <c r="I31" s="63"/>
      <c r="J31" s="65"/>
      <c r="K31" s="63"/>
      <c r="L31" s="92"/>
      <c r="M31" s="63"/>
      <c r="N31" s="66"/>
      <c r="O31" s="87">
        <f t="shared" si="6"/>
        <v>0</v>
      </c>
      <c r="P31" s="67"/>
      <c r="Q31" s="68"/>
    </row>
    <row r="32" spans="1:17" x14ac:dyDescent="0.25">
      <c r="A32" s="70" t="s">
        <v>38</v>
      </c>
      <c r="B32" s="65"/>
      <c r="C32" s="63"/>
      <c r="D32" s="62"/>
      <c r="E32" s="63"/>
      <c r="F32" s="65"/>
      <c r="G32" s="63"/>
      <c r="H32" s="65"/>
      <c r="I32" s="63"/>
      <c r="J32" s="65"/>
      <c r="K32" s="63"/>
      <c r="L32" s="92"/>
      <c r="M32" s="63"/>
      <c r="N32" s="66"/>
      <c r="O32" s="87">
        <f t="shared" si="6"/>
        <v>0</v>
      </c>
      <c r="P32" s="67"/>
      <c r="Q32" s="68"/>
    </row>
    <row r="33" spans="1:17" x14ac:dyDescent="0.25">
      <c r="A33" s="61" t="s">
        <v>1</v>
      </c>
      <c r="B33" s="62">
        <v>899.5</v>
      </c>
      <c r="C33" s="63">
        <f>B33*$B$51</f>
        <v>1956412.5</v>
      </c>
      <c r="D33" s="64">
        <v>1007</v>
      </c>
      <c r="E33" s="63">
        <f>D33*$C$51</f>
        <v>2592018</v>
      </c>
      <c r="F33" s="65"/>
      <c r="G33" s="63"/>
      <c r="H33" s="65"/>
      <c r="I33" s="63"/>
      <c r="J33" s="65"/>
      <c r="K33" s="63"/>
      <c r="L33" s="91">
        <v>3621278</v>
      </c>
      <c r="M33" s="63">
        <f>SUM(K33+I33+G33+E33+C33)</f>
        <v>4548430.5</v>
      </c>
      <c r="N33" s="66">
        <f>(M33-L33)/L33</f>
        <v>0.25602908696874416</v>
      </c>
      <c r="O33" s="87">
        <f t="shared" si="6"/>
        <v>3983405.8000000003</v>
      </c>
      <c r="P33" s="67">
        <f>IF(O33=FALSE,M33,O33)</f>
        <v>3983405.8000000003</v>
      </c>
      <c r="Q33" s="68">
        <f>(P33-L33)/L33</f>
        <v>0.10000000000000007</v>
      </c>
    </row>
    <row r="34" spans="1:17" x14ac:dyDescent="0.25">
      <c r="A34" s="61" t="s">
        <v>24</v>
      </c>
      <c r="B34" s="62">
        <v>632</v>
      </c>
      <c r="C34" s="63">
        <f>B34*$B$51</f>
        <v>1374600</v>
      </c>
      <c r="D34" s="62">
        <v>404</v>
      </c>
      <c r="E34" s="63">
        <f>D34*$C$51</f>
        <v>1039896</v>
      </c>
      <c r="F34" s="65">
        <v>25</v>
      </c>
      <c r="G34" s="63">
        <f>F34*$D$51</f>
        <v>74325</v>
      </c>
      <c r="H34" s="65">
        <v>0</v>
      </c>
      <c r="I34" s="63">
        <f>H34*$E$51</f>
        <v>0</v>
      </c>
      <c r="J34" s="65"/>
      <c r="K34" s="63">
        <f>J34*$B$51</f>
        <v>0</v>
      </c>
      <c r="L34" s="91">
        <v>2203668</v>
      </c>
      <c r="M34" s="63">
        <f>SUM(K34+I34+G34+E34+C34)</f>
        <v>2488821</v>
      </c>
      <c r="N34" s="66">
        <f>(M34-L34)/L34</f>
        <v>0.1293992561492929</v>
      </c>
      <c r="O34" s="87">
        <f t="shared" si="6"/>
        <v>2424034.8000000003</v>
      </c>
      <c r="P34" s="67">
        <f>IF(O34=FALSE,M34,O34)</f>
        <v>2424034.8000000003</v>
      </c>
      <c r="Q34" s="68">
        <f>(P34-L34)/L34</f>
        <v>0.10000000000000013</v>
      </c>
    </row>
    <row r="35" spans="1:17" x14ac:dyDescent="0.25">
      <c r="A35" s="69"/>
      <c r="B35" s="65"/>
      <c r="C35" s="63"/>
      <c r="D35" s="62"/>
      <c r="E35" s="63"/>
      <c r="F35" s="65"/>
      <c r="G35" s="63"/>
      <c r="H35" s="65"/>
      <c r="I35" s="63"/>
      <c r="J35" s="65"/>
      <c r="K35" s="63"/>
      <c r="L35" s="92"/>
      <c r="M35" s="63"/>
      <c r="N35" s="66"/>
      <c r="O35" s="87">
        <f t="shared" si="6"/>
        <v>0</v>
      </c>
      <c r="P35" s="67"/>
      <c r="Q35" s="68"/>
    </row>
    <row r="36" spans="1:17" x14ac:dyDescent="0.25">
      <c r="A36" s="70" t="s">
        <v>46</v>
      </c>
      <c r="B36" s="65"/>
      <c r="C36" s="63"/>
      <c r="D36" s="6"/>
      <c r="E36" s="63"/>
      <c r="F36" s="65"/>
      <c r="G36" s="63"/>
      <c r="H36" s="65"/>
      <c r="I36" s="63"/>
      <c r="J36" s="65"/>
      <c r="K36" s="63"/>
      <c r="L36" s="92"/>
      <c r="M36" s="63"/>
      <c r="N36" s="66"/>
      <c r="O36" s="87">
        <f t="shared" si="6"/>
        <v>0</v>
      </c>
      <c r="P36" s="67"/>
      <c r="Q36" s="68"/>
    </row>
    <row r="37" spans="1:17" x14ac:dyDescent="0.25">
      <c r="A37" s="61" t="s">
        <v>18</v>
      </c>
      <c r="B37" s="62">
        <v>186.5</v>
      </c>
      <c r="C37" s="63">
        <f>B37*$B$51</f>
        <v>405637.5</v>
      </c>
      <c r="D37" s="64">
        <v>234</v>
      </c>
      <c r="E37" s="63">
        <f>D37*$C$51</f>
        <v>602316</v>
      </c>
      <c r="F37" s="65">
        <v>206</v>
      </c>
      <c r="G37" s="63">
        <f>F37*$D$51</f>
        <v>612438</v>
      </c>
      <c r="H37" s="64">
        <v>274</v>
      </c>
      <c r="I37" s="63">
        <f>H37*$E$51</f>
        <v>923928</v>
      </c>
      <c r="J37" s="65">
        <v>1.5</v>
      </c>
      <c r="K37" s="63">
        <f>J37*$B$51</f>
        <v>3262.5</v>
      </c>
      <c r="L37" s="91">
        <v>2167621</v>
      </c>
      <c r="M37" s="63">
        <f>SUM(K37+I37+G37+E37+C37)</f>
        <v>2547582</v>
      </c>
      <c r="N37" s="66">
        <f>(M37-L37)/L37</f>
        <v>0.1752894071426693</v>
      </c>
      <c r="O37" s="87">
        <f t="shared" si="6"/>
        <v>2384383.1</v>
      </c>
      <c r="P37" s="67">
        <f>IF(O37=FALSE,M37,O37)</f>
        <v>2384383.1</v>
      </c>
      <c r="Q37" s="68">
        <f>(P37-L37)/L37</f>
        <v>0.10000000000000005</v>
      </c>
    </row>
    <row r="38" spans="1:17" x14ac:dyDescent="0.25">
      <c r="A38" s="61" t="s">
        <v>16</v>
      </c>
      <c r="B38" s="62">
        <v>12</v>
      </c>
      <c r="C38" s="63">
        <f>B38*$B$51</f>
        <v>26100</v>
      </c>
      <c r="D38" s="64">
        <v>13.5</v>
      </c>
      <c r="E38" s="63">
        <f>D38*$C$51</f>
        <v>34749</v>
      </c>
      <c r="F38" s="65">
        <v>14</v>
      </c>
      <c r="G38" s="63">
        <f>F38*$D$51</f>
        <v>41622</v>
      </c>
      <c r="H38" s="64">
        <v>18.5</v>
      </c>
      <c r="I38" s="63">
        <f>H38*$E$51</f>
        <v>62382</v>
      </c>
      <c r="J38" s="65"/>
      <c r="K38" s="63"/>
      <c r="L38" s="91">
        <v>158879</v>
      </c>
      <c r="M38" s="63">
        <f>SUM(K38+I38+G38+E38+C38)</f>
        <v>164853</v>
      </c>
      <c r="N38" s="66">
        <f>(M38-L38)/L38</f>
        <v>3.7600941597064431E-2</v>
      </c>
      <c r="O38" s="87">
        <f t="shared" si="6"/>
        <v>164853</v>
      </c>
      <c r="P38" s="67">
        <f>IF(O38=FALSE,M38,O38)</f>
        <v>164853</v>
      </c>
      <c r="Q38" s="68">
        <f>(P38-L38)/L38</f>
        <v>3.7600941597064431E-2</v>
      </c>
    </row>
    <row r="39" spans="1:17" x14ac:dyDescent="0.25">
      <c r="A39" s="61" t="s">
        <v>17</v>
      </c>
      <c r="B39" s="62">
        <v>30</v>
      </c>
      <c r="C39" s="63">
        <f>B39*$B$51</f>
        <v>65250</v>
      </c>
      <c r="D39" s="64">
        <v>23</v>
      </c>
      <c r="E39" s="63">
        <f>D39*$C$51</f>
        <v>59202</v>
      </c>
      <c r="F39" s="65">
        <v>25.5</v>
      </c>
      <c r="G39" s="63">
        <f>F39*$D$51</f>
        <v>75811.5</v>
      </c>
      <c r="H39" s="64">
        <v>26</v>
      </c>
      <c r="I39" s="63">
        <f>H39*$E$51</f>
        <v>87672</v>
      </c>
      <c r="J39" s="65"/>
      <c r="K39" s="63"/>
      <c r="L39" s="91">
        <v>126850</v>
      </c>
      <c r="M39" s="63">
        <f>SUM(K39+I39+G39+E39+C39)</f>
        <v>287935.5</v>
      </c>
      <c r="N39" s="66">
        <f>(M39-L39)/L39</f>
        <v>1.2698896334253056</v>
      </c>
      <c r="O39" s="87">
        <f t="shared" si="6"/>
        <v>139535</v>
      </c>
      <c r="P39" s="67">
        <f>IF(O39=FALSE,M39,O39)</f>
        <v>139535</v>
      </c>
      <c r="Q39" s="68">
        <f>(P39-L39)/L39</f>
        <v>0.1</v>
      </c>
    </row>
    <row r="40" spans="1:17" x14ac:dyDescent="0.25">
      <c r="A40" s="61" t="s">
        <v>19</v>
      </c>
      <c r="B40" s="62">
        <v>147.5</v>
      </c>
      <c r="C40" s="63">
        <f>B40*$B$51</f>
        <v>320812.5</v>
      </c>
      <c r="D40" s="64">
        <v>125.5</v>
      </c>
      <c r="E40" s="63">
        <f>D40*$C$51</f>
        <v>323037</v>
      </c>
      <c r="F40" s="65">
        <v>187.5</v>
      </c>
      <c r="G40" s="63">
        <f>F40*$D$51</f>
        <v>557437.5</v>
      </c>
      <c r="H40" s="64">
        <v>313</v>
      </c>
      <c r="I40" s="63">
        <f>H40*$E$51</f>
        <v>1055436</v>
      </c>
      <c r="J40" s="65">
        <v>6.5</v>
      </c>
      <c r="K40" s="63">
        <f>J40*$B$51</f>
        <v>14137.5</v>
      </c>
      <c r="L40" s="91">
        <v>2410209</v>
      </c>
      <c r="M40" s="63">
        <f>SUM(K40+I40+G40+E40+C40)</f>
        <v>2270860.5</v>
      </c>
      <c r="N40" s="66">
        <f>(M40-L40)/L40</f>
        <v>-5.7815940443339146E-2</v>
      </c>
      <c r="O40" s="87">
        <f t="shared" si="6"/>
        <v>2289698.5499999998</v>
      </c>
      <c r="P40" s="67">
        <f>IF(O40=FALSE,M40,O40)</f>
        <v>2289698.5499999998</v>
      </c>
      <c r="Q40" s="68">
        <f>(P40-L40)/L40</f>
        <v>-5.0000000000000079E-2</v>
      </c>
    </row>
    <row r="41" spans="1:17" x14ac:dyDescent="0.25">
      <c r="A41" s="61" t="s">
        <v>20</v>
      </c>
      <c r="B41" s="62">
        <v>48</v>
      </c>
      <c r="C41" s="63">
        <f>B41*$B$51</f>
        <v>104400</v>
      </c>
      <c r="D41" s="64">
        <v>135</v>
      </c>
      <c r="E41" s="63">
        <f>D41*$C$51</f>
        <v>347490</v>
      </c>
      <c r="F41" s="65">
        <v>126.5</v>
      </c>
      <c r="G41" s="63">
        <f>F41*$D$51</f>
        <v>376084.5</v>
      </c>
      <c r="H41" s="64">
        <v>250</v>
      </c>
      <c r="I41" s="63">
        <f>H41*$E$51</f>
        <v>843000</v>
      </c>
      <c r="J41" s="65">
        <v>0.5</v>
      </c>
      <c r="K41" s="63">
        <f>J41*$B$51</f>
        <v>1087.5</v>
      </c>
      <c r="L41" s="91">
        <v>1460713</v>
      </c>
      <c r="M41" s="63">
        <f>SUM(K41+I41+G41+E41+C41)</f>
        <v>1672062</v>
      </c>
      <c r="N41" s="66">
        <f>(M41-L41)/L41</f>
        <v>0.14468892931054902</v>
      </c>
      <c r="O41" s="87">
        <f t="shared" si="6"/>
        <v>1606784.3</v>
      </c>
      <c r="P41" s="67">
        <f>IF(O41=FALSE,M41,O41)</f>
        <v>1606784.3</v>
      </c>
      <c r="Q41" s="68">
        <f>(P41-L41)/L41</f>
        <v>0.10000000000000003</v>
      </c>
    </row>
    <row r="42" spans="1:17" x14ac:dyDescent="0.25">
      <c r="A42" s="69"/>
      <c r="B42" s="65"/>
      <c r="C42" s="63"/>
      <c r="D42" s="62"/>
      <c r="E42" s="63"/>
      <c r="F42" s="65"/>
      <c r="G42" s="63"/>
      <c r="H42" s="62"/>
      <c r="I42" s="63"/>
      <c r="J42" s="65"/>
      <c r="K42" s="63"/>
      <c r="L42" s="92"/>
      <c r="M42" s="63"/>
      <c r="N42" s="66"/>
      <c r="O42" s="87">
        <f t="shared" si="6"/>
        <v>0</v>
      </c>
      <c r="P42" s="67"/>
      <c r="Q42" s="68"/>
    </row>
    <row r="43" spans="1:17" x14ac:dyDescent="0.25">
      <c r="A43" s="70" t="s">
        <v>47</v>
      </c>
      <c r="B43" s="65"/>
      <c r="C43" s="63"/>
      <c r="D43" s="62"/>
      <c r="E43" s="63"/>
      <c r="F43" s="65"/>
      <c r="G43" s="63"/>
      <c r="H43" s="62"/>
      <c r="I43" s="63"/>
      <c r="J43" s="65"/>
      <c r="K43" s="63"/>
      <c r="L43" s="92"/>
      <c r="M43" s="63"/>
      <c r="N43" s="66"/>
      <c r="O43" s="87">
        <f t="shared" si="6"/>
        <v>0</v>
      </c>
      <c r="P43" s="67"/>
      <c r="Q43" s="68"/>
    </row>
    <row r="44" spans="1:17" x14ac:dyDescent="0.25">
      <c r="A44" s="61" t="s">
        <v>37</v>
      </c>
      <c r="B44" s="62">
        <v>32.5</v>
      </c>
      <c r="C44" s="63">
        <f>B44*$B$51</f>
        <v>70687.5</v>
      </c>
      <c r="D44" s="64">
        <v>24</v>
      </c>
      <c r="E44" s="63">
        <f t="shared" ref="E44:E46" si="18">D44*$C$51</f>
        <v>61776</v>
      </c>
      <c r="F44" s="65"/>
      <c r="G44" s="63"/>
      <c r="H44" s="62"/>
      <c r="I44" s="63"/>
      <c r="J44" s="65"/>
      <c r="K44" s="63"/>
      <c r="L44" s="91">
        <v>151048</v>
      </c>
      <c r="M44" s="63">
        <f>SUM(K44+I44+G44+E44+C44)</f>
        <v>132463.5</v>
      </c>
      <c r="N44" s="66">
        <f>(M44-L44)/L44</f>
        <v>-0.12303704782585669</v>
      </c>
      <c r="O44" s="87">
        <f t="shared" si="6"/>
        <v>143495.6</v>
      </c>
      <c r="P44" s="67">
        <f>IF(O44=FALSE,M44,O44)</f>
        <v>143495.6</v>
      </c>
      <c r="Q44" s="68">
        <f>(P44-L44)/L44</f>
        <v>-4.9999999999999961E-2</v>
      </c>
    </row>
    <row r="45" spans="1:17" x14ac:dyDescent="0.25">
      <c r="A45" s="61" t="s">
        <v>35</v>
      </c>
      <c r="B45" s="62">
        <v>490</v>
      </c>
      <c r="C45" s="63">
        <f>B45*$B$51</f>
        <v>1065750</v>
      </c>
      <c r="D45" s="64"/>
      <c r="E45" s="63">
        <f t="shared" si="18"/>
        <v>0</v>
      </c>
      <c r="F45" s="65"/>
      <c r="G45" s="63"/>
      <c r="H45" s="62"/>
      <c r="I45" s="63"/>
      <c r="J45" s="65"/>
      <c r="K45" s="63"/>
      <c r="L45" s="91">
        <v>717977</v>
      </c>
      <c r="M45" s="63">
        <f>SUM(K45+I45+G45+E45+C45)</f>
        <v>1065750</v>
      </c>
      <c r="N45" s="66">
        <f>(M45-L45)/L45</f>
        <v>0.48437902606908023</v>
      </c>
      <c r="O45" s="87">
        <f t="shared" si="6"/>
        <v>789774.70000000007</v>
      </c>
      <c r="P45" s="67">
        <f>IF(O45=FALSE,M45,O45)</f>
        <v>789774.70000000007</v>
      </c>
      <c r="Q45" s="68">
        <f>(P45-L45)/L45</f>
        <v>0.1000000000000001</v>
      </c>
    </row>
    <row r="46" spans="1:17" x14ac:dyDescent="0.25">
      <c r="A46" s="61" t="s">
        <v>36</v>
      </c>
      <c r="B46" s="62">
        <v>110</v>
      </c>
      <c r="C46" s="63">
        <f>B46*$B$51</f>
        <v>239250</v>
      </c>
      <c r="D46" s="73">
        <v>93.5</v>
      </c>
      <c r="E46" s="74">
        <f t="shared" si="18"/>
        <v>240669</v>
      </c>
      <c r="F46" s="75"/>
      <c r="G46" s="67"/>
      <c r="H46" s="73">
        <v>2</v>
      </c>
      <c r="I46" s="67">
        <f t="shared" ref="I46" si="19">H46*$E$51</f>
        <v>6744</v>
      </c>
      <c r="J46" s="65"/>
      <c r="K46" s="63"/>
      <c r="L46" s="91">
        <v>542250</v>
      </c>
      <c r="M46" s="63">
        <f>SUM(K46+I46+G46+E46+C46)</f>
        <v>486663</v>
      </c>
      <c r="N46" s="66">
        <f>(M46-L46)/L46</f>
        <v>-0.10251175656984786</v>
      </c>
      <c r="O46" s="87">
        <f t="shared" si="6"/>
        <v>515137.5</v>
      </c>
      <c r="P46" s="67">
        <f>IF(O46=FALSE,M46,O46)</f>
        <v>515137.5</v>
      </c>
      <c r="Q46" s="68">
        <f>(P46-L46)/L46</f>
        <v>-0.05</v>
      </c>
    </row>
    <row r="47" spans="1:17" ht="18.75" x14ac:dyDescent="0.3">
      <c r="A47" s="76" t="s">
        <v>48</v>
      </c>
      <c r="B47" s="77">
        <f>SUM(B4:B46)</f>
        <v>17289.5</v>
      </c>
      <c r="C47" s="78">
        <f>SUM(C4:C46)</f>
        <v>37604662.5</v>
      </c>
      <c r="D47" s="77">
        <f>SUM(D4:D46)</f>
        <v>19070</v>
      </c>
      <c r="E47" s="78">
        <f>SUM(E4:E46)</f>
        <v>49086180</v>
      </c>
      <c r="F47" s="79">
        <f>SUM(F4:F41)</f>
        <v>8126.5</v>
      </c>
      <c r="G47" s="78">
        <f>SUM(G4:G41)</f>
        <v>24160084.5</v>
      </c>
      <c r="H47" s="77">
        <f>SUM(H4:H41)</f>
        <v>15635.5</v>
      </c>
      <c r="I47" s="78">
        <f>SUM(I4:I46)</f>
        <v>52722906</v>
      </c>
      <c r="J47" s="79">
        <f>SUM(J4:J41)</f>
        <v>160</v>
      </c>
      <c r="K47" s="78">
        <f>SUM(K4:K46)</f>
        <v>337125</v>
      </c>
      <c r="L47" s="93">
        <f>SUM(L4:L46)</f>
        <v>149735303</v>
      </c>
      <c r="M47" s="78">
        <f>SUM(K47+I47+G47+E47+C47)</f>
        <v>163910958</v>
      </c>
      <c r="N47" s="80">
        <f>(M47-L47)/L47</f>
        <v>9.4671428287021936E-2</v>
      </c>
      <c r="O47" s="88">
        <f>SUM(O4:O46)</f>
        <v>158933158.95000002</v>
      </c>
      <c r="P47" s="81">
        <f>SUM(P4:P46)</f>
        <v>158933158.95000002</v>
      </c>
      <c r="Q47" s="82">
        <f>(P47-L47)/L47</f>
        <v>6.1427437389297686E-2</v>
      </c>
    </row>
    <row r="48" spans="1:17" x14ac:dyDescent="0.25">
      <c r="A48" s="11"/>
      <c r="M48" s="13"/>
    </row>
    <row r="49" spans="1:16" x14ac:dyDescent="0.25">
      <c r="L49" s="15"/>
      <c r="P49" s="8">
        <v>173306927.19999999</v>
      </c>
    </row>
    <row r="50" spans="1:16" x14ac:dyDescent="0.25">
      <c r="A50" s="11" t="s">
        <v>55</v>
      </c>
      <c r="B50" s="9" t="s">
        <v>49</v>
      </c>
      <c r="C50" s="9" t="s">
        <v>50</v>
      </c>
      <c r="D50" s="9" t="s">
        <v>51</v>
      </c>
      <c r="E50" s="9" t="s">
        <v>52</v>
      </c>
      <c r="K50" s="11"/>
      <c r="N50" s="12"/>
      <c r="O50" s="9"/>
      <c r="P50" s="10" t="s">
        <v>60</v>
      </c>
    </row>
    <row r="51" spans="1:16" x14ac:dyDescent="0.25">
      <c r="A51" s="9">
        <v>399</v>
      </c>
      <c r="B51" s="12">
        <v>2175</v>
      </c>
      <c r="C51" s="12">
        <f>B51+A51</f>
        <v>2574</v>
      </c>
      <c r="D51" s="12">
        <f>C51+A51</f>
        <v>2973</v>
      </c>
      <c r="E51" s="12">
        <f>D51+A51</f>
        <v>3372</v>
      </c>
      <c r="L51" s="12"/>
      <c r="M51" s="12"/>
      <c r="N51" s="12"/>
    </row>
    <row r="52" spans="1:16" x14ac:dyDescent="0.25">
      <c r="N52" s="12"/>
      <c r="O52" s="9"/>
    </row>
    <row r="53" spans="1:16" x14ac:dyDescent="0.25">
      <c r="N53" s="12"/>
      <c r="O53" s="9"/>
    </row>
    <row r="54" spans="1:16" x14ac:dyDescent="0.25">
      <c r="N54" s="12"/>
      <c r="O54" s="9"/>
    </row>
    <row r="55" spans="1:16" x14ac:dyDescent="0.25">
      <c r="A55" s="9" t="s">
        <v>56</v>
      </c>
      <c r="B55" s="12">
        <f>P49-P47</f>
        <v>14373768.24999997</v>
      </c>
      <c r="L55" s="12"/>
      <c r="N55" s="12"/>
      <c r="O55" s="9"/>
    </row>
    <row r="56" spans="1:16" x14ac:dyDescent="0.25">
      <c r="B56" s="14"/>
      <c r="L56" s="14"/>
      <c r="N56" s="12"/>
      <c r="O56" s="9"/>
    </row>
    <row r="57" spans="1:16" x14ac:dyDescent="0.25">
      <c r="N57" s="12"/>
      <c r="O57" s="9"/>
    </row>
    <row r="58" spans="1:16" x14ac:dyDescent="0.25">
      <c r="A58" s="9" t="s">
        <v>53</v>
      </c>
      <c r="N58" s="12"/>
      <c r="O58" s="9"/>
    </row>
    <row r="59" spans="1:16" x14ac:dyDescent="0.25">
      <c r="B59" s="9" t="s">
        <v>49</v>
      </c>
      <c r="C59" s="9" t="s">
        <v>50</v>
      </c>
      <c r="D59" s="9" t="s">
        <v>51</v>
      </c>
      <c r="E59" s="9" t="s">
        <v>52</v>
      </c>
      <c r="N59" s="12"/>
      <c r="O59" s="9"/>
    </row>
    <row r="60" spans="1:16" x14ac:dyDescent="0.25">
      <c r="A60" s="9">
        <v>399</v>
      </c>
      <c r="B60" s="12">
        <v>2250</v>
      </c>
      <c r="C60" s="12">
        <v>2649</v>
      </c>
      <c r="D60" s="12">
        <v>3048</v>
      </c>
      <c r="E60" s="12">
        <v>3447</v>
      </c>
      <c r="L60" s="12"/>
      <c r="M60" s="12"/>
      <c r="N60" s="12"/>
    </row>
    <row r="61" spans="1:16" x14ac:dyDescent="0.25">
      <c r="N61" s="12"/>
      <c r="O61" s="9"/>
    </row>
  </sheetData>
  <pageMargins left="0.25" right="0.25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21C4-A20F-4CEE-9669-8BCE1BC461E2}">
  <dimension ref="A1:Q61"/>
  <sheetViews>
    <sheetView zoomScale="80" zoomScaleNormal="80" zoomScaleSheetLayoutView="70" workbookViewId="0">
      <selection activeCell="G17" sqref="G17"/>
    </sheetView>
  </sheetViews>
  <sheetFormatPr defaultRowHeight="15" x14ac:dyDescent="0.25"/>
  <cols>
    <col min="1" max="1" width="39.42578125" style="9" customWidth="1"/>
    <col min="2" max="2" width="14.7109375" style="9" customWidth="1"/>
    <col min="3" max="3" width="15.7109375" style="9" customWidth="1"/>
    <col min="4" max="4" width="11.5703125" style="9" customWidth="1"/>
    <col min="5" max="5" width="15.5703125" style="9" customWidth="1"/>
    <col min="6" max="6" width="9.140625" style="9" customWidth="1"/>
    <col min="7" max="7" width="15.7109375" style="9" customWidth="1"/>
    <col min="8" max="8" width="9.140625" style="9" customWidth="1"/>
    <col min="9" max="9" width="15.7109375" style="9" customWidth="1"/>
    <col min="10" max="10" width="16" style="9" customWidth="1"/>
    <col min="11" max="11" width="16.42578125" style="9" customWidth="1"/>
    <col min="12" max="13" width="21" style="9" customWidth="1"/>
    <col min="14" max="14" width="12.140625" style="9" customWidth="1"/>
    <col min="15" max="15" width="20.85546875" style="12" customWidth="1"/>
    <col min="16" max="16" width="21" style="10" hidden="1" customWidth="1"/>
    <col min="17" max="17" width="13.5703125" style="9" customWidth="1"/>
    <col min="18" max="16384" width="9.140625" style="9"/>
  </cols>
  <sheetData>
    <row r="1" spans="1:17" x14ac:dyDescent="0.25">
      <c r="A1" s="51" t="s">
        <v>76</v>
      </c>
    </row>
    <row r="2" spans="1:17" ht="60" x14ac:dyDescent="0.25">
      <c r="A2" s="52"/>
      <c r="B2" s="53" t="s">
        <v>39</v>
      </c>
      <c r="C2" s="53"/>
      <c r="D2" s="53" t="s">
        <v>40</v>
      </c>
      <c r="E2" s="53"/>
      <c r="F2" s="53" t="s">
        <v>41</v>
      </c>
      <c r="G2" s="53"/>
      <c r="H2" s="53" t="s">
        <v>42</v>
      </c>
      <c r="I2" s="53"/>
      <c r="J2" s="53" t="s">
        <v>43</v>
      </c>
      <c r="K2" s="53"/>
      <c r="L2" s="89" t="s">
        <v>89</v>
      </c>
      <c r="M2" s="54" t="s">
        <v>69</v>
      </c>
      <c r="N2" s="54" t="s">
        <v>90</v>
      </c>
      <c r="O2" s="85" t="s">
        <v>84</v>
      </c>
      <c r="P2" s="55" t="str">
        <f>"FY 2020-21 
with "&amp;O2</f>
        <v>FY 2020-21 
with Guardrail Allocation
(-3%, 10%)</v>
      </c>
      <c r="Q2" s="54" t="s">
        <v>90</v>
      </c>
    </row>
    <row r="3" spans="1:17" x14ac:dyDescent="0.25">
      <c r="A3" s="56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90"/>
      <c r="M3" s="57"/>
      <c r="N3" s="58">
        <f>AVERAGE(N4:N15)</f>
        <v>8.8151847474001468E-2</v>
      </c>
      <c r="O3" s="86"/>
      <c r="P3" s="59"/>
      <c r="Q3" s="60"/>
    </row>
    <row r="4" spans="1:17" x14ac:dyDescent="0.25">
      <c r="A4" s="61" t="s">
        <v>22</v>
      </c>
      <c r="B4" s="62">
        <v>207.5</v>
      </c>
      <c r="C4" s="63">
        <f>B4*$B$51</f>
        <v>446125</v>
      </c>
      <c r="D4" s="62">
        <v>174.5</v>
      </c>
      <c r="E4" s="63">
        <f t="shared" ref="E4:E15" si="0">D4*$C$51</f>
        <v>444800.5</v>
      </c>
      <c r="F4" s="64">
        <v>125.5</v>
      </c>
      <c r="G4" s="63">
        <f t="shared" ref="G4:G15" si="1">F4*$D$51</f>
        <v>369974</v>
      </c>
      <c r="H4" s="64">
        <v>263.5</v>
      </c>
      <c r="I4" s="63">
        <f t="shared" ref="I4:I15" si="2">H4*$E$51</f>
        <v>881934.5</v>
      </c>
      <c r="J4" s="65">
        <v>7.5</v>
      </c>
      <c r="K4" s="63">
        <f t="shared" ref="K4:K15" si="3">J4*$B$51</f>
        <v>16125</v>
      </c>
      <c r="L4" s="91">
        <v>2259818</v>
      </c>
      <c r="M4" s="63">
        <f t="shared" ref="M4:M15" si="4">SUM(K4+I4+G4+E4+C4)</f>
        <v>2158959</v>
      </c>
      <c r="N4" s="66">
        <f t="shared" ref="N4:N15" si="5">(M4-L4)/L4</f>
        <v>-4.4631470321946282E-2</v>
      </c>
      <c r="O4" s="87">
        <f t="shared" ref="O4:O46" si="6">IF(N4&lt;-0.03,L4*0.97,IF(N4&gt;0.1,L4*1.1,M4))</f>
        <v>2192023.46</v>
      </c>
      <c r="P4" s="67">
        <f t="shared" ref="P4:P15" si="7">IF(O4=FALSE,M4,O4)</f>
        <v>2192023.46</v>
      </c>
      <c r="Q4" s="68">
        <f t="shared" ref="Q4:Q15" si="8">(P4-L4)/L4</f>
        <v>-3.0000000000000016E-2</v>
      </c>
    </row>
    <row r="5" spans="1:17" x14ac:dyDescent="0.25">
      <c r="A5" s="61" t="s">
        <v>23</v>
      </c>
      <c r="B5" s="62">
        <v>588</v>
      </c>
      <c r="C5" s="63">
        <f t="shared" ref="C5:C30" si="9">B5*$B$51</f>
        <v>1264200</v>
      </c>
      <c r="D5" s="62">
        <v>759.5</v>
      </c>
      <c r="E5" s="63">
        <f t="shared" si="0"/>
        <v>1935965.5</v>
      </c>
      <c r="F5" s="64">
        <v>574</v>
      </c>
      <c r="G5" s="63">
        <f t="shared" si="1"/>
        <v>1692152</v>
      </c>
      <c r="H5" s="64">
        <v>1157</v>
      </c>
      <c r="I5" s="63">
        <f t="shared" si="2"/>
        <v>3872479</v>
      </c>
      <c r="J5" s="65">
        <v>23</v>
      </c>
      <c r="K5" s="63">
        <f t="shared" si="3"/>
        <v>49450</v>
      </c>
      <c r="L5" s="91">
        <v>8358127</v>
      </c>
      <c r="M5" s="63">
        <f t="shared" si="4"/>
        <v>8814246.5</v>
      </c>
      <c r="N5" s="66">
        <f t="shared" si="5"/>
        <v>5.4571975276279001E-2</v>
      </c>
      <c r="O5" s="87">
        <f t="shared" si="6"/>
        <v>8814246.5</v>
      </c>
      <c r="P5" s="67">
        <f t="shared" si="7"/>
        <v>8814246.5</v>
      </c>
      <c r="Q5" s="68">
        <f t="shared" si="8"/>
        <v>5.4571975276279001E-2</v>
      </c>
    </row>
    <row r="6" spans="1:17" x14ac:dyDescent="0.25">
      <c r="A6" s="61" t="s">
        <v>25</v>
      </c>
      <c r="B6" s="62">
        <v>98.5</v>
      </c>
      <c r="C6" s="63">
        <f t="shared" si="9"/>
        <v>211775</v>
      </c>
      <c r="D6" s="62">
        <v>129.5</v>
      </c>
      <c r="E6" s="63">
        <f t="shared" si="0"/>
        <v>330095.5</v>
      </c>
      <c r="F6" s="64">
        <v>132.5</v>
      </c>
      <c r="G6" s="63">
        <f t="shared" si="1"/>
        <v>390610</v>
      </c>
      <c r="H6" s="64">
        <v>238.5</v>
      </c>
      <c r="I6" s="63">
        <f t="shared" si="2"/>
        <v>798259.5</v>
      </c>
      <c r="J6" s="65">
        <v>5.5</v>
      </c>
      <c r="K6" s="63">
        <f t="shared" si="3"/>
        <v>11825</v>
      </c>
      <c r="L6" s="91">
        <v>1618343</v>
      </c>
      <c r="M6" s="63">
        <f t="shared" si="4"/>
        <v>1742565</v>
      </c>
      <c r="N6" s="66">
        <f t="shared" si="5"/>
        <v>7.6758758804530314E-2</v>
      </c>
      <c r="O6" s="87">
        <f t="shared" si="6"/>
        <v>1742565</v>
      </c>
      <c r="P6" s="67">
        <f t="shared" si="7"/>
        <v>1742565</v>
      </c>
      <c r="Q6" s="68">
        <f t="shared" si="8"/>
        <v>7.6758758804530314E-2</v>
      </c>
    </row>
    <row r="7" spans="1:17" x14ac:dyDescent="0.25">
      <c r="A7" s="61" t="s">
        <v>26</v>
      </c>
      <c r="B7" s="62">
        <v>1176.5</v>
      </c>
      <c r="C7" s="63">
        <f t="shared" si="9"/>
        <v>2529475</v>
      </c>
      <c r="D7" s="62">
        <v>1033</v>
      </c>
      <c r="E7" s="63">
        <f t="shared" si="0"/>
        <v>2633117</v>
      </c>
      <c r="F7" s="64">
        <v>1241.5</v>
      </c>
      <c r="G7" s="63">
        <f t="shared" si="1"/>
        <v>3659942</v>
      </c>
      <c r="H7" s="64">
        <v>1680.5</v>
      </c>
      <c r="I7" s="63">
        <f t="shared" si="2"/>
        <v>5624633.5</v>
      </c>
      <c r="J7" s="65">
        <v>15</v>
      </c>
      <c r="K7" s="63">
        <f t="shared" si="3"/>
        <v>32250</v>
      </c>
      <c r="L7" s="91">
        <v>13125938</v>
      </c>
      <c r="M7" s="63">
        <f t="shared" si="4"/>
        <v>14479417.5</v>
      </c>
      <c r="N7" s="66">
        <f t="shared" si="5"/>
        <v>0.10311487834240875</v>
      </c>
      <c r="O7" s="87">
        <f t="shared" si="6"/>
        <v>14438531.800000001</v>
      </c>
      <c r="P7" s="67">
        <f t="shared" si="7"/>
        <v>14438531.800000001</v>
      </c>
      <c r="Q7" s="68">
        <f t="shared" si="8"/>
        <v>0.10000000000000006</v>
      </c>
    </row>
    <row r="8" spans="1:17" x14ac:dyDescent="0.25">
      <c r="A8" s="61" t="s">
        <v>27</v>
      </c>
      <c r="B8" s="62">
        <v>298.5</v>
      </c>
      <c r="C8" s="63">
        <f t="shared" si="9"/>
        <v>641775</v>
      </c>
      <c r="D8" s="62">
        <v>336.5</v>
      </c>
      <c r="E8" s="63">
        <f t="shared" si="0"/>
        <v>857738.5</v>
      </c>
      <c r="F8" s="64">
        <v>356</v>
      </c>
      <c r="G8" s="63">
        <f t="shared" si="1"/>
        <v>1049488</v>
      </c>
      <c r="H8" s="64">
        <v>687</v>
      </c>
      <c r="I8" s="63">
        <f t="shared" si="2"/>
        <v>2299389</v>
      </c>
      <c r="J8" s="65">
        <v>13</v>
      </c>
      <c r="K8" s="63">
        <f t="shared" si="3"/>
        <v>27950</v>
      </c>
      <c r="L8" s="91">
        <v>4579037</v>
      </c>
      <c r="M8" s="63">
        <f t="shared" si="4"/>
        <v>4876340.5</v>
      </c>
      <c r="N8" s="66">
        <f t="shared" si="5"/>
        <v>6.4927079645785785E-2</v>
      </c>
      <c r="O8" s="87">
        <f t="shared" si="6"/>
        <v>4876340.5</v>
      </c>
      <c r="P8" s="67">
        <f t="shared" si="7"/>
        <v>4876340.5</v>
      </c>
      <c r="Q8" s="68">
        <f t="shared" si="8"/>
        <v>6.4927079645785785E-2</v>
      </c>
    </row>
    <row r="9" spans="1:17" x14ac:dyDescent="0.25">
      <c r="A9" s="61" t="s">
        <v>28</v>
      </c>
      <c r="B9" s="62">
        <v>64.5</v>
      </c>
      <c r="C9" s="63">
        <f t="shared" si="9"/>
        <v>138675</v>
      </c>
      <c r="D9" s="62">
        <v>97.5</v>
      </c>
      <c r="E9" s="63">
        <f t="shared" si="0"/>
        <v>248527.5</v>
      </c>
      <c r="F9" s="64">
        <v>110.5</v>
      </c>
      <c r="G9" s="63">
        <f t="shared" si="1"/>
        <v>325754</v>
      </c>
      <c r="H9" s="64">
        <v>212</v>
      </c>
      <c r="I9" s="63">
        <f t="shared" si="2"/>
        <v>709564</v>
      </c>
      <c r="J9" s="65">
        <v>2</v>
      </c>
      <c r="K9" s="63">
        <f t="shared" si="3"/>
        <v>4300</v>
      </c>
      <c r="L9" s="91">
        <v>1497559</v>
      </c>
      <c r="M9" s="63">
        <f t="shared" si="4"/>
        <v>1426820.5</v>
      </c>
      <c r="N9" s="66">
        <f t="shared" si="5"/>
        <v>-4.7235868503344443E-2</v>
      </c>
      <c r="O9" s="87">
        <f t="shared" si="6"/>
        <v>1452632.23</v>
      </c>
      <c r="P9" s="67">
        <f t="shared" si="7"/>
        <v>1452632.23</v>
      </c>
      <c r="Q9" s="68">
        <f t="shared" si="8"/>
        <v>-3.0000000000000013E-2</v>
      </c>
    </row>
    <row r="10" spans="1:17" x14ac:dyDescent="0.25">
      <c r="A10" s="61" t="s">
        <v>29</v>
      </c>
      <c r="B10" s="62">
        <v>1454</v>
      </c>
      <c r="C10" s="63">
        <f t="shared" si="9"/>
        <v>3126100</v>
      </c>
      <c r="D10" s="62">
        <v>1421</v>
      </c>
      <c r="E10" s="63">
        <f t="shared" si="0"/>
        <v>3622129</v>
      </c>
      <c r="F10" s="64">
        <v>1629.5</v>
      </c>
      <c r="G10" s="63">
        <f t="shared" si="1"/>
        <v>4803766</v>
      </c>
      <c r="H10" s="64">
        <v>3412.5</v>
      </c>
      <c r="I10" s="63">
        <f t="shared" si="2"/>
        <v>11421637.5</v>
      </c>
      <c r="J10" s="62">
        <v>24.5</v>
      </c>
      <c r="K10" s="63">
        <f t="shared" si="3"/>
        <v>52675</v>
      </c>
      <c r="L10" s="91">
        <v>20913437</v>
      </c>
      <c r="M10" s="63">
        <f t="shared" si="4"/>
        <v>23026307.5</v>
      </c>
      <c r="N10" s="66">
        <f t="shared" si="5"/>
        <v>0.10102932865602149</v>
      </c>
      <c r="O10" s="87">
        <f t="shared" si="6"/>
        <v>23004780.700000003</v>
      </c>
      <c r="P10" s="67">
        <f t="shared" si="7"/>
        <v>23004780.700000003</v>
      </c>
      <c r="Q10" s="68">
        <f t="shared" si="8"/>
        <v>0.10000000000000014</v>
      </c>
    </row>
    <row r="11" spans="1:17" x14ac:dyDescent="0.25">
      <c r="A11" s="61" t="s">
        <v>30</v>
      </c>
      <c r="B11" s="62">
        <v>583.5</v>
      </c>
      <c r="C11" s="63">
        <f t="shared" si="9"/>
        <v>1254525</v>
      </c>
      <c r="D11" s="62">
        <v>819</v>
      </c>
      <c r="E11" s="63">
        <f t="shared" si="0"/>
        <v>2087631</v>
      </c>
      <c r="F11" s="64">
        <v>898</v>
      </c>
      <c r="G11" s="63">
        <f t="shared" si="1"/>
        <v>2647304</v>
      </c>
      <c r="H11" s="64">
        <v>1986.5</v>
      </c>
      <c r="I11" s="63">
        <f t="shared" si="2"/>
        <v>6648815.5</v>
      </c>
      <c r="J11" s="65">
        <v>13.5</v>
      </c>
      <c r="K11" s="63">
        <f t="shared" si="3"/>
        <v>29025</v>
      </c>
      <c r="L11" s="91">
        <v>10546316</v>
      </c>
      <c r="M11" s="63">
        <f t="shared" si="4"/>
        <v>12667300.5</v>
      </c>
      <c r="N11" s="66">
        <f t="shared" si="5"/>
        <v>0.20111141179536057</v>
      </c>
      <c r="O11" s="87">
        <f t="shared" si="6"/>
        <v>11600947.600000001</v>
      </c>
      <c r="P11" s="67">
        <f t="shared" si="7"/>
        <v>11600947.600000001</v>
      </c>
      <c r="Q11" s="68">
        <f t="shared" si="8"/>
        <v>0.10000000000000014</v>
      </c>
    </row>
    <row r="12" spans="1:17" x14ac:dyDescent="0.25">
      <c r="A12" s="61" t="s">
        <v>31</v>
      </c>
      <c r="B12" s="62">
        <v>587.5</v>
      </c>
      <c r="C12" s="63">
        <f t="shared" si="9"/>
        <v>1263125</v>
      </c>
      <c r="D12" s="62">
        <v>620</v>
      </c>
      <c r="E12" s="63">
        <f t="shared" si="0"/>
        <v>1580380</v>
      </c>
      <c r="F12" s="64">
        <v>677</v>
      </c>
      <c r="G12" s="63">
        <f t="shared" si="1"/>
        <v>1995796</v>
      </c>
      <c r="H12" s="64">
        <v>1562</v>
      </c>
      <c r="I12" s="63">
        <f t="shared" si="2"/>
        <v>5228014</v>
      </c>
      <c r="J12" s="65">
        <v>29.5</v>
      </c>
      <c r="K12" s="63">
        <f t="shared" si="3"/>
        <v>63425</v>
      </c>
      <c r="L12" s="91">
        <v>8941951</v>
      </c>
      <c r="M12" s="63">
        <f t="shared" si="4"/>
        <v>10130740</v>
      </c>
      <c r="N12" s="66">
        <f t="shared" si="5"/>
        <v>0.13294514810023003</v>
      </c>
      <c r="O12" s="87">
        <f t="shared" si="6"/>
        <v>9836146.1000000015</v>
      </c>
      <c r="P12" s="67">
        <f t="shared" si="7"/>
        <v>9836146.1000000015</v>
      </c>
      <c r="Q12" s="68">
        <f t="shared" si="8"/>
        <v>0.10000000000000017</v>
      </c>
    </row>
    <row r="13" spans="1:17" x14ac:dyDescent="0.25">
      <c r="A13" s="61" t="s">
        <v>32</v>
      </c>
      <c r="B13" s="62">
        <v>613.5</v>
      </c>
      <c r="C13" s="63">
        <f t="shared" si="9"/>
        <v>1319025</v>
      </c>
      <c r="D13" s="62">
        <v>729.5</v>
      </c>
      <c r="E13" s="63">
        <f t="shared" si="0"/>
        <v>1859495.5</v>
      </c>
      <c r="F13" s="64">
        <v>1063.5</v>
      </c>
      <c r="G13" s="63">
        <f t="shared" si="1"/>
        <v>3135198</v>
      </c>
      <c r="H13" s="64">
        <v>2048.5</v>
      </c>
      <c r="I13" s="63">
        <f t="shared" si="2"/>
        <v>6856329.5</v>
      </c>
      <c r="J13" s="65">
        <v>9.5</v>
      </c>
      <c r="K13" s="63">
        <f t="shared" si="3"/>
        <v>20425</v>
      </c>
      <c r="L13" s="91">
        <v>11286802</v>
      </c>
      <c r="M13" s="63">
        <f t="shared" si="4"/>
        <v>13190473</v>
      </c>
      <c r="N13" s="66">
        <f t="shared" si="5"/>
        <v>0.1686634531198474</v>
      </c>
      <c r="O13" s="87">
        <f t="shared" si="6"/>
        <v>12415482.200000001</v>
      </c>
      <c r="P13" s="67">
        <f t="shared" si="7"/>
        <v>12415482.200000001</v>
      </c>
      <c r="Q13" s="68">
        <f t="shared" si="8"/>
        <v>0.1000000000000001</v>
      </c>
    </row>
    <row r="14" spans="1:17" x14ac:dyDescent="0.25">
      <c r="A14" s="61" t="s">
        <v>33</v>
      </c>
      <c r="B14" s="62">
        <v>647</v>
      </c>
      <c r="C14" s="63">
        <f t="shared" si="9"/>
        <v>1391050</v>
      </c>
      <c r="D14" s="62">
        <v>527</v>
      </c>
      <c r="E14" s="63">
        <f t="shared" si="0"/>
        <v>1343323</v>
      </c>
      <c r="F14" s="64">
        <v>635.5</v>
      </c>
      <c r="G14" s="63">
        <f t="shared" si="1"/>
        <v>1873454</v>
      </c>
      <c r="H14" s="64">
        <v>1298.5</v>
      </c>
      <c r="I14" s="63">
        <f t="shared" si="2"/>
        <v>4346079.5</v>
      </c>
      <c r="J14" s="65">
        <v>3</v>
      </c>
      <c r="K14" s="63">
        <f t="shared" si="3"/>
        <v>6450</v>
      </c>
      <c r="L14" s="91">
        <v>7280013</v>
      </c>
      <c r="M14" s="63">
        <f t="shared" si="4"/>
        <v>8960356.5</v>
      </c>
      <c r="N14" s="66">
        <f t="shared" si="5"/>
        <v>0.23081600266373151</v>
      </c>
      <c r="O14" s="87">
        <f t="shared" si="6"/>
        <v>8008014.3000000007</v>
      </c>
      <c r="P14" s="67">
        <f t="shared" si="7"/>
        <v>8008014.3000000007</v>
      </c>
      <c r="Q14" s="68">
        <f t="shared" si="8"/>
        <v>0.1000000000000001</v>
      </c>
    </row>
    <row r="15" spans="1:17" x14ac:dyDescent="0.25">
      <c r="A15" s="61" t="s">
        <v>34</v>
      </c>
      <c r="B15" s="62">
        <v>71.5</v>
      </c>
      <c r="C15" s="63">
        <f t="shared" si="9"/>
        <v>153725</v>
      </c>
      <c r="D15" s="62">
        <v>99</v>
      </c>
      <c r="E15" s="63">
        <f t="shared" si="0"/>
        <v>252351</v>
      </c>
      <c r="F15" s="64">
        <v>92.5</v>
      </c>
      <c r="G15" s="63">
        <f t="shared" si="1"/>
        <v>272690</v>
      </c>
      <c r="H15" s="64">
        <v>194.5</v>
      </c>
      <c r="I15" s="63">
        <f t="shared" si="2"/>
        <v>650991.5</v>
      </c>
      <c r="J15" s="65">
        <v>0.5</v>
      </c>
      <c r="K15" s="63">
        <f t="shared" si="3"/>
        <v>1075</v>
      </c>
      <c r="L15" s="91">
        <v>1310195</v>
      </c>
      <c r="M15" s="63">
        <f t="shared" si="4"/>
        <v>1330832.5</v>
      </c>
      <c r="N15" s="66">
        <f t="shared" si="5"/>
        <v>1.575147210911353E-2</v>
      </c>
      <c r="O15" s="87">
        <f t="shared" si="6"/>
        <v>1330832.5</v>
      </c>
      <c r="P15" s="67">
        <f t="shared" si="7"/>
        <v>1330832.5</v>
      </c>
      <c r="Q15" s="68">
        <f t="shared" si="8"/>
        <v>1.575147210911353E-2</v>
      </c>
    </row>
    <row r="16" spans="1:17" x14ac:dyDescent="0.25">
      <c r="A16" s="69"/>
      <c r="B16" s="65"/>
      <c r="C16" s="63"/>
      <c r="D16" s="62"/>
      <c r="E16" s="63"/>
      <c r="F16" s="65"/>
      <c r="G16" s="63"/>
      <c r="H16" s="65"/>
      <c r="I16" s="63"/>
      <c r="J16" s="65"/>
      <c r="K16" s="63"/>
      <c r="L16" s="92"/>
      <c r="M16" s="63"/>
      <c r="N16" s="66"/>
      <c r="O16" s="87">
        <f t="shared" si="6"/>
        <v>0</v>
      </c>
      <c r="P16" s="67"/>
      <c r="Q16" s="68"/>
    </row>
    <row r="17" spans="1:17" x14ac:dyDescent="0.25">
      <c r="A17" s="70" t="s">
        <v>45</v>
      </c>
      <c r="B17" s="65"/>
      <c r="C17" s="63"/>
      <c r="D17" s="6"/>
      <c r="E17" s="63"/>
      <c r="F17" s="65"/>
      <c r="G17" s="63"/>
      <c r="H17" s="65"/>
      <c r="I17" s="63"/>
      <c r="J17" s="65"/>
      <c r="K17" s="63"/>
      <c r="L17" s="92"/>
      <c r="M17" s="63"/>
      <c r="N17" s="66"/>
      <c r="O17" s="87">
        <f t="shared" si="6"/>
        <v>0</v>
      </c>
      <c r="P17" s="67"/>
      <c r="Q17" s="68"/>
    </row>
    <row r="18" spans="1:17" x14ac:dyDescent="0.25">
      <c r="A18" s="61" t="s">
        <v>2</v>
      </c>
      <c r="B18" s="62">
        <v>528.5</v>
      </c>
      <c r="C18" s="63">
        <f t="shared" si="9"/>
        <v>1136275</v>
      </c>
      <c r="D18" s="64">
        <v>603.5</v>
      </c>
      <c r="E18" s="63">
        <f t="shared" ref="E18:E30" si="10">D18*$C$51</f>
        <v>1538321.5</v>
      </c>
      <c r="F18" s="62">
        <v>3</v>
      </c>
      <c r="G18" s="71">
        <f t="shared" ref="G18" si="11">F18*$D$51</f>
        <v>8844</v>
      </c>
      <c r="H18" s="62"/>
      <c r="I18" s="63"/>
      <c r="J18" s="72"/>
      <c r="K18" s="63"/>
      <c r="L18" s="91">
        <v>3004148</v>
      </c>
      <c r="M18" s="63">
        <f t="shared" ref="M18:M30" si="12">SUM(K18+I18+G18+E18+C18)</f>
        <v>2683440.5</v>
      </c>
      <c r="N18" s="66">
        <f t="shared" ref="N18:N30" si="13">(M18-L18)/L18</f>
        <v>-0.10675489356716114</v>
      </c>
      <c r="O18" s="87">
        <f t="shared" si="6"/>
        <v>2914023.56</v>
      </c>
      <c r="P18" s="67">
        <f t="shared" ref="P18:P30" si="14">IF(O18=FALSE,M18,O18)</f>
        <v>2914023.56</v>
      </c>
      <c r="Q18" s="68">
        <f t="shared" ref="Q18:Q30" si="15">(P18-L18)/L18</f>
        <v>-2.9999999999999982E-2</v>
      </c>
    </row>
    <row r="19" spans="1:17" x14ac:dyDescent="0.25">
      <c r="A19" s="61" t="s">
        <v>3</v>
      </c>
      <c r="B19" s="62">
        <v>58.5</v>
      </c>
      <c r="C19" s="63">
        <f t="shared" si="9"/>
        <v>125775</v>
      </c>
      <c r="D19" s="64">
        <v>145</v>
      </c>
      <c r="E19" s="63">
        <f t="shared" si="10"/>
        <v>369605</v>
      </c>
      <c r="F19" s="62"/>
      <c r="G19" s="71"/>
      <c r="H19" s="62"/>
      <c r="I19" s="63"/>
      <c r="J19" s="72"/>
      <c r="K19" s="63"/>
      <c r="L19" s="91">
        <v>476475</v>
      </c>
      <c r="M19" s="63">
        <f t="shared" si="12"/>
        <v>495380</v>
      </c>
      <c r="N19" s="66">
        <f t="shared" si="13"/>
        <v>3.9676793116113121E-2</v>
      </c>
      <c r="O19" s="87">
        <f t="shared" si="6"/>
        <v>495380</v>
      </c>
      <c r="P19" s="67">
        <f t="shared" si="14"/>
        <v>495380</v>
      </c>
      <c r="Q19" s="68">
        <f t="shared" si="15"/>
        <v>3.9676793116113121E-2</v>
      </c>
    </row>
    <row r="20" spans="1:17" x14ac:dyDescent="0.25">
      <c r="A20" s="61" t="s">
        <v>4</v>
      </c>
      <c r="B20" s="62">
        <v>737</v>
      </c>
      <c r="C20" s="63">
        <f t="shared" si="9"/>
        <v>1584550</v>
      </c>
      <c r="D20" s="64">
        <v>824.5</v>
      </c>
      <c r="E20" s="63">
        <f t="shared" si="10"/>
        <v>2101650.5</v>
      </c>
      <c r="F20" s="62"/>
      <c r="G20" s="71"/>
      <c r="H20" s="62"/>
      <c r="I20" s="63"/>
      <c r="J20" s="72"/>
      <c r="K20" s="63"/>
      <c r="L20" s="91">
        <v>3851839</v>
      </c>
      <c r="M20" s="63">
        <f t="shared" si="12"/>
        <v>3686200.5</v>
      </c>
      <c r="N20" s="66">
        <f t="shared" si="13"/>
        <v>-4.3002446363931621E-2</v>
      </c>
      <c r="O20" s="87">
        <f t="shared" si="6"/>
        <v>3736283.83</v>
      </c>
      <c r="P20" s="67">
        <f t="shared" si="14"/>
        <v>3736283.83</v>
      </c>
      <c r="Q20" s="68">
        <f t="shared" si="15"/>
        <v>-2.9999999999999982E-2</v>
      </c>
    </row>
    <row r="21" spans="1:17" x14ac:dyDescent="0.25">
      <c r="A21" s="61" t="s">
        <v>5</v>
      </c>
      <c r="B21" s="62">
        <v>1169.5</v>
      </c>
      <c r="C21" s="63">
        <f t="shared" si="9"/>
        <v>2514425</v>
      </c>
      <c r="D21" s="64">
        <v>1049</v>
      </c>
      <c r="E21" s="63">
        <f t="shared" si="10"/>
        <v>2673901</v>
      </c>
      <c r="F21" s="62"/>
      <c r="G21" s="71"/>
      <c r="H21" s="62">
        <v>1.5</v>
      </c>
      <c r="I21" s="71">
        <f>H21*$E$51</f>
        <v>5020.5</v>
      </c>
      <c r="J21" s="72">
        <v>0.5</v>
      </c>
      <c r="K21" s="63"/>
      <c r="L21" s="91">
        <v>5340274</v>
      </c>
      <c r="M21" s="63">
        <f t="shared" si="12"/>
        <v>5193346.5</v>
      </c>
      <c r="N21" s="66">
        <f t="shared" si="13"/>
        <v>-2.7513101387681607E-2</v>
      </c>
      <c r="O21" s="87">
        <f t="shared" si="6"/>
        <v>5193346.5</v>
      </c>
      <c r="P21" s="67">
        <f t="shared" si="14"/>
        <v>5193346.5</v>
      </c>
      <c r="Q21" s="68">
        <f t="shared" si="15"/>
        <v>-2.7513101387681607E-2</v>
      </c>
    </row>
    <row r="22" spans="1:17" x14ac:dyDescent="0.25">
      <c r="A22" s="61" t="s">
        <v>6</v>
      </c>
      <c r="B22" s="62">
        <v>1706</v>
      </c>
      <c r="C22" s="63">
        <f t="shared" si="9"/>
        <v>3667900</v>
      </c>
      <c r="D22" s="64">
        <v>1904.5</v>
      </c>
      <c r="E22" s="63">
        <f t="shared" si="10"/>
        <v>4854570.5</v>
      </c>
      <c r="F22" s="62"/>
      <c r="G22" s="71"/>
      <c r="H22" s="62"/>
      <c r="I22" s="71"/>
      <c r="J22" s="72"/>
      <c r="K22" s="63"/>
      <c r="L22" s="91">
        <v>8960400</v>
      </c>
      <c r="M22" s="63">
        <f t="shared" si="12"/>
        <v>8522470.5</v>
      </c>
      <c r="N22" s="66">
        <f t="shared" si="13"/>
        <v>-4.8873878398285789E-2</v>
      </c>
      <c r="O22" s="87">
        <f t="shared" si="6"/>
        <v>8691588</v>
      </c>
      <c r="P22" s="67">
        <f t="shared" si="14"/>
        <v>8691588</v>
      </c>
      <c r="Q22" s="68">
        <f t="shared" si="15"/>
        <v>-0.03</v>
      </c>
    </row>
    <row r="23" spans="1:17" x14ac:dyDescent="0.25">
      <c r="A23" s="61" t="s">
        <v>7</v>
      </c>
      <c r="B23" s="62">
        <v>94</v>
      </c>
      <c r="C23" s="63">
        <f t="shared" si="9"/>
        <v>202100</v>
      </c>
      <c r="D23" s="64">
        <v>150.5</v>
      </c>
      <c r="E23" s="63">
        <f t="shared" si="10"/>
        <v>383624.5</v>
      </c>
      <c r="F23" s="62"/>
      <c r="G23" s="71"/>
      <c r="H23" s="62"/>
      <c r="I23" s="71"/>
      <c r="J23" s="72"/>
      <c r="K23" s="63"/>
      <c r="L23" s="91">
        <v>534912</v>
      </c>
      <c r="M23" s="63">
        <f t="shared" si="12"/>
        <v>585724.5</v>
      </c>
      <c r="N23" s="66">
        <f t="shared" si="13"/>
        <v>9.4992260409188803E-2</v>
      </c>
      <c r="O23" s="87">
        <f t="shared" si="6"/>
        <v>585724.5</v>
      </c>
      <c r="P23" s="67">
        <f t="shared" si="14"/>
        <v>585724.5</v>
      </c>
      <c r="Q23" s="68">
        <f t="shared" si="15"/>
        <v>9.4992260409188803E-2</v>
      </c>
    </row>
    <row r="24" spans="1:17" x14ac:dyDescent="0.25">
      <c r="A24" s="61" t="s">
        <v>8</v>
      </c>
      <c r="B24" s="62">
        <v>76.5</v>
      </c>
      <c r="C24" s="63">
        <f t="shared" si="9"/>
        <v>164475</v>
      </c>
      <c r="D24" s="64">
        <v>151.5</v>
      </c>
      <c r="E24" s="63">
        <f t="shared" si="10"/>
        <v>386173.5</v>
      </c>
      <c r="F24" s="62"/>
      <c r="G24" s="71"/>
      <c r="H24" s="62"/>
      <c r="I24" s="71"/>
      <c r="J24" s="72"/>
      <c r="K24" s="63"/>
      <c r="L24" s="91">
        <v>657553</v>
      </c>
      <c r="M24" s="63">
        <f t="shared" si="12"/>
        <v>550648.5</v>
      </c>
      <c r="N24" s="66">
        <f t="shared" si="13"/>
        <v>-0.16257929018649447</v>
      </c>
      <c r="O24" s="87">
        <f t="shared" si="6"/>
        <v>637826.41</v>
      </c>
      <c r="P24" s="67">
        <f t="shared" si="14"/>
        <v>637826.41</v>
      </c>
      <c r="Q24" s="68">
        <f t="shared" si="15"/>
        <v>-2.999999999999995E-2</v>
      </c>
    </row>
    <row r="25" spans="1:17" x14ac:dyDescent="0.25">
      <c r="A25" s="61" t="s">
        <v>9</v>
      </c>
      <c r="B25" s="62">
        <v>127.5</v>
      </c>
      <c r="C25" s="63">
        <f t="shared" si="9"/>
        <v>274125</v>
      </c>
      <c r="D25" s="64">
        <v>227</v>
      </c>
      <c r="E25" s="63">
        <f t="shared" si="10"/>
        <v>578623</v>
      </c>
      <c r="F25" s="62"/>
      <c r="G25" s="71"/>
      <c r="H25" s="62"/>
      <c r="I25" s="71"/>
      <c r="J25" s="72"/>
      <c r="K25" s="63"/>
      <c r="L25" s="91">
        <v>866153</v>
      </c>
      <c r="M25" s="63">
        <f t="shared" si="12"/>
        <v>852748</v>
      </c>
      <c r="N25" s="66">
        <f t="shared" si="13"/>
        <v>-1.5476480483240259E-2</v>
      </c>
      <c r="O25" s="87">
        <f t="shared" si="6"/>
        <v>852748</v>
      </c>
      <c r="P25" s="67">
        <f t="shared" si="14"/>
        <v>852748</v>
      </c>
      <c r="Q25" s="68">
        <f t="shared" si="15"/>
        <v>-1.5476480483240259E-2</v>
      </c>
    </row>
    <row r="26" spans="1:17" x14ac:dyDescent="0.25">
      <c r="A26" s="61" t="s">
        <v>10</v>
      </c>
      <c r="B26" s="62">
        <v>146</v>
      </c>
      <c r="C26" s="63">
        <f t="shared" si="9"/>
        <v>313900</v>
      </c>
      <c r="D26" s="64">
        <v>309.5</v>
      </c>
      <c r="E26" s="63">
        <f t="shared" si="10"/>
        <v>788915.5</v>
      </c>
      <c r="F26" s="62"/>
      <c r="G26" s="71"/>
      <c r="H26" s="62"/>
      <c r="I26" s="71"/>
      <c r="J26" s="72"/>
      <c r="K26" s="63"/>
      <c r="L26" s="91">
        <v>1026685</v>
      </c>
      <c r="M26" s="63">
        <f t="shared" si="12"/>
        <v>1102815.5</v>
      </c>
      <c r="N26" s="66">
        <f t="shared" si="13"/>
        <v>7.4151760277008039E-2</v>
      </c>
      <c r="O26" s="87">
        <f t="shared" si="6"/>
        <v>1102815.5</v>
      </c>
      <c r="P26" s="67">
        <f t="shared" si="14"/>
        <v>1102815.5</v>
      </c>
      <c r="Q26" s="68">
        <f t="shared" si="15"/>
        <v>7.4151760277008039E-2</v>
      </c>
    </row>
    <row r="27" spans="1:17" x14ac:dyDescent="0.25">
      <c r="A27" s="61" t="s">
        <v>11</v>
      </c>
      <c r="B27" s="62">
        <v>1970</v>
      </c>
      <c r="C27" s="63">
        <f t="shared" si="9"/>
        <v>4235500</v>
      </c>
      <c r="D27" s="64">
        <v>2652.5</v>
      </c>
      <c r="E27" s="63">
        <f t="shared" si="10"/>
        <v>6761222.5</v>
      </c>
      <c r="F27" s="62">
        <v>2</v>
      </c>
      <c r="G27" s="71">
        <f>F27*$D$51</f>
        <v>5896</v>
      </c>
      <c r="H27" s="62">
        <v>2</v>
      </c>
      <c r="I27" s="71"/>
      <c r="J27" s="72">
        <v>1</v>
      </c>
      <c r="K27" s="63"/>
      <c r="L27" s="91">
        <v>9993071</v>
      </c>
      <c r="M27" s="63">
        <f t="shared" si="12"/>
        <v>11002618.5</v>
      </c>
      <c r="N27" s="66">
        <f t="shared" si="13"/>
        <v>0.10102475004930916</v>
      </c>
      <c r="O27" s="87">
        <f t="shared" si="6"/>
        <v>10992378.100000001</v>
      </c>
      <c r="P27" s="67">
        <f t="shared" si="14"/>
        <v>10992378.100000001</v>
      </c>
      <c r="Q27" s="68">
        <f t="shared" si="15"/>
        <v>0.10000000000000014</v>
      </c>
    </row>
    <row r="28" spans="1:17" x14ac:dyDescent="0.25">
      <c r="A28" s="61" t="s">
        <v>12</v>
      </c>
      <c r="B28" s="62">
        <v>869.5</v>
      </c>
      <c r="C28" s="63">
        <f t="shared" si="9"/>
        <v>1869425</v>
      </c>
      <c r="D28" s="64">
        <v>1000.5</v>
      </c>
      <c r="E28" s="63">
        <f t="shared" si="10"/>
        <v>2550274.5</v>
      </c>
      <c r="F28" s="62"/>
      <c r="G28" s="71"/>
      <c r="H28" s="62">
        <v>7.5</v>
      </c>
      <c r="I28" s="71">
        <f t="shared" ref="I28:I29" si="16">H28*$E$51</f>
        <v>25102.5</v>
      </c>
      <c r="J28" s="72">
        <v>1</v>
      </c>
      <c r="K28" s="63"/>
      <c r="L28" s="91">
        <v>4756617</v>
      </c>
      <c r="M28" s="63">
        <f t="shared" si="12"/>
        <v>4444802</v>
      </c>
      <c r="N28" s="66">
        <f t="shared" si="13"/>
        <v>-6.5553943064997663E-2</v>
      </c>
      <c r="O28" s="87">
        <f t="shared" si="6"/>
        <v>4613918.49</v>
      </c>
      <c r="P28" s="67">
        <f t="shared" si="14"/>
        <v>4613918.49</v>
      </c>
      <c r="Q28" s="68">
        <f t="shared" si="15"/>
        <v>-2.9999999999999954E-2</v>
      </c>
    </row>
    <row r="29" spans="1:17" x14ac:dyDescent="0.25">
      <c r="A29" s="61" t="s">
        <v>13</v>
      </c>
      <c r="B29" s="62">
        <v>692.5</v>
      </c>
      <c r="C29" s="63">
        <f t="shared" si="9"/>
        <v>1488875</v>
      </c>
      <c r="D29" s="64">
        <v>871.5</v>
      </c>
      <c r="E29" s="63">
        <f t="shared" si="10"/>
        <v>2221453.5</v>
      </c>
      <c r="F29" s="62">
        <v>1</v>
      </c>
      <c r="G29" s="71">
        <f t="shared" ref="G29" si="17">F29*$D$51</f>
        <v>2948</v>
      </c>
      <c r="H29" s="62">
        <v>2</v>
      </c>
      <c r="I29" s="71">
        <f t="shared" si="16"/>
        <v>6694</v>
      </c>
      <c r="J29" s="72"/>
      <c r="K29" s="63"/>
      <c r="L29" s="91">
        <v>3816273</v>
      </c>
      <c r="M29" s="63">
        <f t="shared" si="12"/>
        <v>3719970.5</v>
      </c>
      <c r="N29" s="66">
        <f t="shared" si="13"/>
        <v>-2.523469888029499E-2</v>
      </c>
      <c r="O29" s="87">
        <f t="shared" si="6"/>
        <v>3719970.5</v>
      </c>
      <c r="P29" s="67">
        <f t="shared" si="14"/>
        <v>3719970.5</v>
      </c>
      <c r="Q29" s="68">
        <f t="shared" si="15"/>
        <v>-2.523469888029499E-2</v>
      </c>
    </row>
    <row r="30" spans="1:17" x14ac:dyDescent="0.25">
      <c r="A30" s="61" t="s">
        <v>14</v>
      </c>
      <c r="B30" s="62">
        <v>135.5</v>
      </c>
      <c r="C30" s="63">
        <f t="shared" si="9"/>
        <v>291325</v>
      </c>
      <c r="D30" s="64">
        <v>375</v>
      </c>
      <c r="E30" s="63">
        <f t="shared" si="10"/>
        <v>955875</v>
      </c>
      <c r="F30" s="62"/>
      <c r="G30" s="63"/>
      <c r="H30" s="62"/>
      <c r="I30" s="63"/>
      <c r="J30" s="72">
        <v>2.5</v>
      </c>
      <c r="K30" s="63"/>
      <c r="L30" s="91">
        <v>1172874</v>
      </c>
      <c r="M30" s="63">
        <f t="shared" si="12"/>
        <v>1247200</v>
      </c>
      <c r="N30" s="66">
        <f t="shared" si="13"/>
        <v>6.3370830967350286E-2</v>
      </c>
      <c r="O30" s="87">
        <f t="shared" si="6"/>
        <v>1247200</v>
      </c>
      <c r="P30" s="67">
        <f t="shared" si="14"/>
        <v>1247200</v>
      </c>
      <c r="Q30" s="68">
        <f t="shared" si="15"/>
        <v>6.3370830967350286E-2</v>
      </c>
    </row>
    <row r="31" spans="1:17" x14ac:dyDescent="0.25">
      <c r="A31" s="69"/>
      <c r="B31" s="65"/>
      <c r="C31" s="63"/>
      <c r="D31" s="62"/>
      <c r="E31" s="63"/>
      <c r="F31" s="65"/>
      <c r="G31" s="63"/>
      <c r="H31" s="65"/>
      <c r="I31" s="63"/>
      <c r="J31" s="65"/>
      <c r="K31" s="63"/>
      <c r="L31" s="92"/>
      <c r="M31" s="63"/>
      <c r="N31" s="66"/>
      <c r="O31" s="87">
        <f t="shared" si="6"/>
        <v>0</v>
      </c>
      <c r="P31" s="67"/>
      <c r="Q31" s="68"/>
    </row>
    <row r="32" spans="1:17" x14ac:dyDescent="0.25">
      <c r="A32" s="70" t="s">
        <v>38</v>
      </c>
      <c r="B32" s="65"/>
      <c r="C32" s="63"/>
      <c r="D32" s="62"/>
      <c r="E32" s="63"/>
      <c r="F32" s="65"/>
      <c r="G32" s="63"/>
      <c r="H32" s="65"/>
      <c r="I32" s="63"/>
      <c r="J32" s="65"/>
      <c r="K32" s="63"/>
      <c r="L32" s="92"/>
      <c r="M32" s="63"/>
      <c r="N32" s="66"/>
      <c r="O32" s="87">
        <f t="shared" si="6"/>
        <v>0</v>
      </c>
      <c r="P32" s="67"/>
      <c r="Q32" s="68"/>
    </row>
    <row r="33" spans="1:17" x14ac:dyDescent="0.25">
      <c r="A33" s="61" t="s">
        <v>1</v>
      </c>
      <c r="B33" s="62">
        <v>899.5</v>
      </c>
      <c r="C33" s="63">
        <f>B33*$B$51</f>
        <v>1933925</v>
      </c>
      <c r="D33" s="64">
        <v>1007</v>
      </c>
      <c r="E33" s="63">
        <f>D33*$C$51</f>
        <v>2566843</v>
      </c>
      <c r="F33" s="65"/>
      <c r="G33" s="63"/>
      <c r="H33" s="65"/>
      <c r="I33" s="63"/>
      <c r="J33" s="65"/>
      <c r="K33" s="63"/>
      <c r="L33" s="91">
        <v>3621278</v>
      </c>
      <c r="M33" s="63">
        <f>SUM(K33+I33+G33+E33+C33)</f>
        <v>4500768</v>
      </c>
      <c r="N33" s="66">
        <f>(M33-L33)/L33</f>
        <v>0.24286729712548996</v>
      </c>
      <c r="O33" s="87">
        <f t="shared" si="6"/>
        <v>3983405.8000000003</v>
      </c>
      <c r="P33" s="67">
        <f>IF(O33=FALSE,M33,O33)</f>
        <v>3983405.8000000003</v>
      </c>
      <c r="Q33" s="68">
        <f>(P33-L33)/L33</f>
        <v>0.10000000000000007</v>
      </c>
    </row>
    <row r="34" spans="1:17" x14ac:dyDescent="0.25">
      <c r="A34" s="61" t="s">
        <v>24</v>
      </c>
      <c r="B34" s="62">
        <v>632</v>
      </c>
      <c r="C34" s="63">
        <f>B34*$B$51</f>
        <v>1358800</v>
      </c>
      <c r="D34" s="62">
        <v>404</v>
      </c>
      <c r="E34" s="63">
        <f>D34*$C$51</f>
        <v>1029796</v>
      </c>
      <c r="F34" s="65">
        <v>25</v>
      </c>
      <c r="G34" s="63">
        <f>F34*$D$51</f>
        <v>73700</v>
      </c>
      <c r="H34" s="65">
        <v>0</v>
      </c>
      <c r="I34" s="63">
        <f>H34*$E$51</f>
        <v>0</v>
      </c>
      <c r="J34" s="65"/>
      <c r="K34" s="63">
        <f>J34*$B$51</f>
        <v>0</v>
      </c>
      <c r="L34" s="91">
        <v>2203668</v>
      </c>
      <c r="M34" s="63">
        <f>SUM(K34+I34+G34+E34+C34)</f>
        <v>2462296</v>
      </c>
      <c r="N34" s="66">
        <f>(M34-L34)/L34</f>
        <v>0.1173625065118702</v>
      </c>
      <c r="O34" s="87">
        <f t="shared" si="6"/>
        <v>2424034.8000000003</v>
      </c>
      <c r="P34" s="67">
        <f>IF(O34=FALSE,M34,O34)</f>
        <v>2424034.8000000003</v>
      </c>
      <c r="Q34" s="68">
        <f>(P34-L34)/L34</f>
        <v>0.10000000000000013</v>
      </c>
    </row>
    <row r="35" spans="1:17" x14ac:dyDescent="0.25">
      <c r="A35" s="69"/>
      <c r="B35" s="65"/>
      <c r="C35" s="63"/>
      <c r="D35" s="62"/>
      <c r="E35" s="63"/>
      <c r="F35" s="65"/>
      <c r="G35" s="63"/>
      <c r="H35" s="65"/>
      <c r="I35" s="63"/>
      <c r="J35" s="65"/>
      <c r="K35" s="63"/>
      <c r="L35" s="92"/>
      <c r="M35" s="63"/>
      <c r="N35" s="66"/>
      <c r="O35" s="87">
        <f t="shared" si="6"/>
        <v>0</v>
      </c>
      <c r="P35" s="67"/>
      <c r="Q35" s="68"/>
    </row>
    <row r="36" spans="1:17" x14ac:dyDescent="0.25">
      <c r="A36" s="70" t="s">
        <v>46</v>
      </c>
      <c r="B36" s="65"/>
      <c r="C36" s="63"/>
      <c r="D36" s="6"/>
      <c r="E36" s="63"/>
      <c r="F36" s="65"/>
      <c r="G36" s="63"/>
      <c r="H36" s="65"/>
      <c r="I36" s="63"/>
      <c r="J36" s="65"/>
      <c r="K36" s="63"/>
      <c r="L36" s="92"/>
      <c r="M36" s="63"/>
      <c r="N36" s="66"/>
      <c r="O36" s="87">
        <f t="shared" si="6"/>
        <v>0</v>
      </c>
      <c r="P36" s="67"/>
      <c r="Q36" s="68"/>
    </row>
    <row r="37" spans="1:17" x14ac:dyDescent="0.25">
      <c r="A37" s="61" t="s">
        <v>18</v>
      </c>
      <c r="B37" s="62">
        <v>186.5</v>
      </c>
      <c r="C37" s="63">
        <f>B37*$B$51</f>
        <v>400975</v>
      </c>
      <c r="D37" s="64">
        <v>234</v>
      </c>
      <c r="E37" s="63">
        <f>D37*$C$51</f>
        <v>596466</v>
      </c>
      <c r="F37" s="65">
        <v>206</v>
      </c>
      <c r="G37" s="63">
        <f>F37*$D$51</f>
        <v>607288</v>
      </c>
      <c r="H37" s="64">
        <v>274</v>
      </c>
      <c r="I37" s="63">
        <f>H37*$E$51</f>
        <v>917078</v>
      </c>
      <c r="J37" s="65">
        <v>1.5</v>
      </c>
      <c r="K37" s="63">
        <f>J37*$B$51</f>
        <v>3225</v>
      </c>
      <c r="L37" s="91">
        <v>2167621</v>
      </c>
      <c r="M37" s="63">
        <f>SUM(K37+I37+G37+E37+C37)</f>
        <v>2525032</v>
      </c>
      <c r="N37" s="66">
        <f>(M37-L37)/L37</f>
        <v>0.16488629700487309</v>
      </c>
      <c r="O37" s="87">
        <f t="shared" si="6"/>
        <v>2384383.1</v>
      </c>
      <c r="P37" s="67">
        <f>IF(O37=FALSE,M37,O37)</f>
        <v>2384383.1</v>
      </c>
      <c r="Q37" s="68">
        <f>(P37-L37)/L37</f>
        <v>0.10000000000000005</v>
      </c>
    </row>
    <row r="38" spans="1:17" x14ac:dyDescent="0.25">
      <c r="A38" s="61" t="s">
        <v>16</v>
      </c>
      <c r="B38" s="62">
        <v>12</v>
      </c>
      <c r="C38" s="63">
        <f>B38*$B$51</f>
        <v>25800</v>
      </c>
      <c r="D38" s="64">
        <v>13.5</v>
      </c>
      <c r="E38" s="63">
        <f>D38*$C$51</f>
        <v>34411.5</v>
      </c>
      <c r="F38" s="65">
        <v>14</v>
      </c>
      <c r="G38" s="63">
        <f>F38*$D$51</f>
        <v>41272</v>
      </c>
      <c r="H38" s="64">
        <v>18.5</v>
      </c>
      <c r="I38" s="63">
        <f>H38*$E$51</f>
        <v>61919.5</v>
      </c>
      <c r="J38" s="65"/>
      <c r="K38" s="63"/>
      <c r="L38" s="91">
        <v>158879</v>
      </c>
      <c r="M38" s="63">
        <f>SUM(K38+I38+G38+E38+C38)</f>
        <v>163403</v>
      </c>
      <c r="N38" s="66">
        <f>(M38-L38)/L38</f>
        <v>2.8474499461854617E-2</v>
      </c>
      <c r="O38" s="87">
        <f t="shared" si="6"/>
        <v>163403</v>
      </c>
      <c r="P38" s="67">
        <f>IF(O38=FALSE,M38,O38)</f>
        <v>163403</v>
      </c>
      <c r="Q38" s="68">
        <f>(P38-L38)/L38</f>
        <v>2.8474499461854617E-2</v>
      </c>
    </row>
    <row r="39" spans="1:17" x14ac:dyDescent="0.25">
      <c r="A39" s="61" t="s">
        <v>17</v>
      </c>
      <c r="B39" s="62">
        <v>30</v>
      </c>
      <c r="C39" s="63">
        <f>B39*$B$51</f>
        <v>64500</v>
      </c>
      <c r="D39" s="64">
        <v>23</v>
      </c>
      <c r="E39" s="63">
        <f>D39*$C$51</f>
        <v>58627</v>
      </c>
      <c r="F39" s="65">
        <v>25.5</v>
      </c>
      <c r="G39" s="63">
        <f>F39*$D$51</f>
        <v>75174</v>
      </c>
      <c r="H39" s="64">
        <v>26</v>
      </c>
      <c r="I39" s="63">
        <f>H39*$E$51</f>
        <v>87022</v>
      </c>
      <c r="J39" s="65"/>
      <c r="K39" s="63"/>
      <c r="L39" s="91">
        <v>126850</v>
      </c>
      <c r="M39" s="63">
        <f>SUM(K39+I39+G39+E39+C39)</f>
        <v>285323</v>
      </c>
      <c r="N39" s="66">
        <f>(M39-L39)/L39</f>
        <v>1.2492944422546315</v>
      </c>
      <c r="O39" s="87">
        <f t="shared" si="6"/>
        <v>139535</v>
      </c>
      <c r="P39" s="67">
        <f>IF(O39=FALSE,M39,O39)</f>
        <v>139535</v>
      </c>
      <c r="Q39" s="68">
        <f>(P39-L39)/L39</f>
        <v>0.1</v>
      </c>
    </row>
    <row r="40" spans="1:17" x14ac:dyDescent="0.25">
      <c r="A40" s="61" t="s">
        <v>19</v>
      </c>
      <c r="B40" s="62">
        <v>147.5</v>
      </c>
      <c r="C40" s="63">
        <f>B40*$B$51</f>
        <v>317125</v>
      </c>
      <c r="D40" s="64">
        <v>125.5</v>
      </c>
      <c r="E40" s="63">
        <f>D40*$C$51</f>
        <v>319899.5</v>
      </c>
      <c r="F40" s="65">
        <v>187.5</v>
      </c>
      <c r="G40" s="63">
        <f>F40*$D$51</f>
        <v>552750</v>
      </c>
      <c r="H40" s="64">
        <v>313</v>
      </c>
      <c r="I40" s="63">
        <f>H40*$E$51</f>
        <v>1047611</v>
      </c>
      <c r="J40" s="65">
        <v>6.5</v>
      </c>
      <c r="K40" s="63">
        <f>J40*$B$51</f>
        <v>13975</v>
      </c>
      <c r="L40" s="91">
        <v>2410209</v>
      </c>
      <c r="M40" s="63">
        <f>SUM(K40+I40+G40+E40+C40)</f>
        <v>2251360.5</v>
      </c>
      <c r="N40" s="66">
        <f>(M40-L40)/L40</f>
        <v>-6.590652511877601E-2</v>
      </c>
      <c r="O40" s="87">
        <f t="shared" si="6"/>
        <v>2337902.73</v>
      </c>
      <c r="P40" s="67">
        <f>IF(O40=FALSE,M40,O40)</f>
        <v>2337902.73</v>
      </c>
      <c r="Q40" s="68">
        <f>(P40-L40)/L40</f>
        <v>-3.0000000000000009E-2</v>
      </c>
    </row>
    <row r="41" spans="1:17" x14ac:dyDescent="0.25">
      <c r="A41" s="61" t="s">
        <v>20</v>
      </c>
      <c r="B41" s="62">
        <v>48</v>
      </c>
      <c r="C41" s="63">
        <f>B41*$B$51</f>
        <v>103200</v>
      </c>
      <c r="D41" s="64">
        <v>135</v>
      </c>
      <c r="E41" s="63">
        <f>D41*$C$51</f>
        <v>344115</v>
      </c>
      <c r="F41" s="65">
        <v>126.5</v>
      </c>
      <c r="G41" s="63">
        <f>F41*$D$51</f>
        <v>372922</v>
      </c>
      <c r="H41" s="64">
        <v>250</v>
      </c>
      <c r="I41" s="63">
        <f>H41*$E$51</f>
        <v>836750</v>
      </c>
      <c r="J41" s="65">
        <v>0.5</v>
      </c>
      <c r="K41" s="63">
        <f>J41*$B$51</f>
        <v>1075</v>
      </c>
      <c r="L41" s="91">
        <v>1460713</v>
      </c>
      <c r="M41" s="63">
        <f>SUM(K41+I41+G41+E41+C41)</f>
        <v>1658062</v>
      </c>
      <c r="N41" s="66">
        <f>(M41-L41)/L41</f>
        <v>0.13510456879619748</v>
      </c>
      <c r="O41" s="87">
        <f t="shared" si="6"/>
        <v>1606784.3</v>
      </c>
      <c r="P41" s="67">
        <f>IF(O41=FALSE,M41,O41)</f>
        <v>1606784.3</v>
      </c>
      <c r="Q41" s="68">
        <f>(P41-L41)/L41</f>
        <v>0.10000000000000003</v>
      </c>
    </row>
    <row r="42" spans="1:17" x14ac:dyDescent="0.25">
      <c r="A42" s="69"/>
      <c r="B42" s="65"/>
      <c r="C42" s="63"/>
      <c r="D42" s="62"/>
      <c r="E42" s="63"/>
      <c r="F42" s="65"/>
      <c r="G42" s="63"/>
      <c r="H42" s="62"/>
      <c r="I42" s="63"/>
      <c r="J42" s="65"/>
      <c r="K42" s="63"/>
      <c r="L42" s="92"/>
      <c r="M42" s="63"/>
      <c r="N42" s="66"/>
      <c r="O42" s="87">
        <f t="shared" si="6"/>
        <v>0</v>
      </c>
      <c r="P42" s="67"/>
      <c r="Q42" s="68"/>
    </row>
    <row r="43" spans="1:17" x14ac:dyDescent="0.25">
      <c r="A43" s="70" t="s">
        <v>47</v>
      </c>
      <c r="B43" s="65"/>
      <c r="C43" s="63"/>
      <c r="D43" s="62"/>
      <c r="E43" s="63"/>
      <c r="F43" s="65"/>
      <c r="G43" s="63"/>
      <c r="H43" s="62"/>
      <c r="I43" s="63"/>
      <c r="J43" s="65"/>
      <c r="K43" s="63"/>
      <c r="L43" s="92"/>
      <c r="M43" s="63"/>
      <c r="N43" s="66"/>
      <c r="O43" s="87">
        <f t="shared" si="6"/>
        <v>0</v>
      </c>
      <c r="P43" s="67"/>
      <c r="Q43" s="68"/>
    </row>
    <row r="44" spans="1:17" x14ac:dyDescent="0.25">
      <c r="A44" s="61" t="s">
        <v>37</v>
      </c>
      <c r="B44" s="62">
        <v>32.5</v>
      </c>
      <c r="C44" s="63">
        <f>B44*$B$51</f>
        <v>69875</v>
      </c>
      <c r="D44" s="64">
        <v>24</v>
      </c>
      <c r="E44" s="63">
        <f t="shared" ref="E44:E46" si="18">D44*$C$51</f>
        <v>61176</v>
      </c>
      <c r="F44" s="65"/>
      <c r="G44" s="63"/>
      <c r="H44" s="62"/>
      <c r="I44" s="63"/>
      <c r="J44" s="65"/>
      <c r="K44" s="63"/>
      <c r="L44" s="91">
        <v>151048</v>
      </c>
      <c r="M44" s="63">
        <f>SUM(K44+I44+G44+E44+C44)</f>
        <v>131051</v>
      </c>
      <c r="N44" s="66">
        <f>(M44-L44)/L44</f>
        <v>-0.13238837985276203</v>
      </c>
      <c r="O44" s="87">
        <f t="shared" si="6"/>
        <v>146516.56</v>
      </c>
      <c r="P44" s="67">
        <f>IF(O44=FALSE,M44,O44)</f>
        <v>146516.56</v>
      </c>
      <c r="Q44" s="68">
        <f>(P44-L44)/L44</f>
        <v>-3.0000000000000016E-2</v>
      </c>
    </row>
    <row r="45" spans="1:17" x14ac:dyDescent="0.25">
      <c r="A45" s="61" t="s">
        <v>35</v>
      </c>
      <c r="B45" s="62">
        <v>490</v>
      </c>
      <c r="C45" s="63">
        <f>B45*$B$51</f>
        <v>1053500</v>
      </c>
      <c r="D45" s="64"/>
      <c r="E45" s="63">
        <f t="shared" si="18"/>
        <v>0</v>
      </c>
      <c r="F45" s="65"/>
      <c r="G45" s="63"/>
      <c r="H45" s="62"/>
      <c r="I45" s="63"/>
      <c r="J45" s="65"/>
      <c r="K45" s="63"/>
      <c r="L45" s="91">
        <v>717977</v>
      </c>
      <c r="M45" s="63">
        <f>SUM(K45+I45+G45+E45+C45)</f>
        <v>1053500</v>
      </c>
      <c r="N45" s="66">
        <f>(M45-L45)/L45</f>
        <v>0.4673171981832287</v>
      </c>
      <c r="O45" s="87">
        <f t="shared" si="6"/>
        <v>789774.70000000007</v>
      </c>
      <c r="P45" s="67">
        <f>IF(O45=FALSE,M45,O45)</f>
        <v>789774.70000000007</v>
      </c>
      <c r="Q45" s="68">
        <f>(P45-L45)/L45</f>
        <v>0.1000000000000001</v>
      </c>
    </row>
    <row r="46" spans="1:17" x14ac:dyDescent="0.25">
      <c r="A46" s="61" t="s">
        <v>36</v>
      </c>
      <c r="B46" s="62">
        <v>110</v>
      </c>
      <c r="C46" s="63">
        <f>B46*$B$51</f>
        <v>236500</v>
      </c>
      <c r="D46" s="73">
        <v>93.5</v>
      </c>
      <c r="E46" s="74">
        <f t="shared" si="18"/>
        <v>238331.5</v>
      </c>
      <c r="F46" s="75"/>
      <c r="G46" s="67"/>
      <c r="H46" s="73">
        <v>2</v>
      </c>
      <c r="I46" s="67">
        <f t="shared" ref="I46" si="19">H46*$E$51</f>
        <v>6694</v>
      </c>
      <c r="J46" s="65"/>
      <c r="K46" s="63"/>
      <c r="L46" s="91">
        <v>542250</v>
      </c>
      <c r="M46" s="63">
        <f>SUM(K46+I46+G46+E46+C46)</f>
        <v>481525.5</v>
      </c>
      <c r="N46" s="66">
        <f>(M46-L46)/L46</f>
        <v>-0.11198616874135546</v>
      </c>
      <c r="O46" s="87">
        <f t="shared" si="6"/>
        <v>525982.5</v>
      </c>
      <c r="P46" s="67">
        <f>IF(O46=FALSE,M46,O46)</f>
        <v>525982.5</v>
      </c>
      <c r="Q46" s="68">
        <f>(P46-L46)/L46</f>
        <v>-0.03</v>
      </c>
    </row>
    <row r="47" spans="1:17" ht="18.75" x14ac:dyDescent="0.3">
      <c r="A47" s="76" t="s">
        <v>48</v>
      </c>
      <c r="B47" s="77">
        <f>SUM(B4:B46)</f>
        <v>17289.5</v>
      </c>
      <c r="C47" s="78">
        <f>SUM(C4:C46)</f>
        <v>37172425</v>
      </c>
      <c r="D47" s="77">
        <f>SUM(D4:D46)</f>
        <v>19070</v>
      </c>
      <c r="E47" s="78">
        <f>SUM(E4:E46)</f>
        <v>48609430</v>
      </c>
      <c r="F47" s="79">
        <f>SUM(F4:F41)</f>
        <v>8126.5</v>
      </c>
      <c r="G47" s="78">
        <f>SUM(G4:G41)</f>
        <v>23956922</v>
      </c>
      <c r="H47" s="77">
        <f>SUM(H4:H41)</f>
        <v>15635.5</v>
      </c>
      <c r="I47" s="78">
        <f>SUM(I4:I46)</f>
        <v>52332018.5</v>
      </c>
      <c r="J47" s="79">
        <f>SUM(J4:J41)</f>
        <v>160</v>
      </c>
      <c r="K47" s="78">
        <f>SUM(K4:K46)</f>
        <v>333250</v>
      </c>
      <c r="L47" s="93">
        <f>SUM(L4:L46)</f>
        <v>149735303</v>
      </c>
      <c r="M47" s="78">
        <f>SUM(K47+I47+G47+E47+C47)</f>
        <v>162404045.5</v>
      </c>
      <c r="N47" s="80">
        <f>(M47-L47)/L47</f>
        <v>8.460758582763879E-2</v>
      </c>
      <c r="O47" s="88">
        <f>SUM(O4:O46)</f>
        <v>158997468.77000004</v>
      </c>
      <c r="P47" s="81">
        <f>SUM(P4:P46)</f>
        <v>158997468.77000004</v>
      </c>
      <c r="Q47" s="82">
        <f>(P47-L47)/L47</f>
        <v>6.1856927420783595E-2</v>
      </c>
    </row>
    <row r="48" spans="1:17" x14ac:dyDescent="0.25">
      <c r="A48" s="11"/>
      <c r="M48" s="13"/>
    </row>
    <row r="49" spans="1:16" x14ac:dyDescent="0.25">
      <c r="L49" s="15"/>
      <c r="P49" s="8">
        <v>173306927.19999999</v>
      </c>
    </row>
    <row r="50" spans="1:16" x14ac:dyDescent="0.25">
      <c r="A50" s="11" t="s">
        <v>55</v>
      </c>
      <c r="B50" s="9" t="s">
        <v>49</v>
      </c>
      <c r="C50" s="9" t="s">
        <v>50</v>
      </c>
      <c r="D50" s="9" t="s">
        <v>51</v>
      </c>
      <c r="E50" s="9" t="s">
        <v>52</v>
      </c>
      <c r="K50" s="11"/>
      <c r="N50" s="12"/>
      <c r="O50" s="9"/>
      <c r="P50" s="10" t="s">
        <v>60</v>
      </c>
    </row>
    <row r="51" spans="1:16" x14ac:dyDescent="0.25">
      <c r="A51" s="9">
        <v>399</v>
      </c>
      <c r="B51" s="12">
        <v>2150</v>
      </c>
      <c r="C51" s="12">
        <f>B51+A51</f>
        <v>2549</v>
      </c>
      <c r="D51" s="12">
        <f>C51+A51</f>
        <v>2948</v>
      </c>
      <c r="E51" s="12">
        <f>D51+A51</f>
        <v>3347</v>
      </c>
      <c r="L51" s="12"/>
      <c r="M51" s="12"/>
      <c r="N51" s="12"/>
    </row>
    <row r="52" spans="1:16" x14ac:dyDescent="0.25">
      <c r="N52" s="12"/>
      <c r="O52" s="9"/>
    </row>
    <row r="53" spans="1:16" x14ac:dyDescent="0.25">
      <c r="N53" s="12"/>
      <c r="O53" s="9"/>
    </row>
    <row r="54" spans="1:16" x14ac:dyDescent="0.25">
      <c r="N54" s="12"/>
      <c r="O54" s="9"/>
    </row>
    <row r="55" spans="1:16" x14ac:dyDescent="0.25">
      <c r="A55" s="9" t="s">
        <v>56</v>
      </c>
      <c r="B55" s="12">
        <f>P49-P47</f>
        <v>14309458.429999948</v>
      </c>
      <c r="L55" s="12"/>
      <c r="N55" s="12"/>
      <c r="O55" s="9"/>
    </row>
    <row r="56" spans="1:16" x14ac:dyDescent="0.25">
      <c r="B56" s="14"/>
      <c r="L56" s="14"/>
      <c r="N56" s="12"/>
      <c r="O56" s="9"/>
    </row>
    <row r="57" spans="1:16" x14ac:dyDescent="0.25">
      <c r="N57" s="12"/>
      <c r="O57" s="9"/>
    </row>
    <row r="58" spans="1:16" x14ac:dyDescent="0.25">
      <c r="A58" s="9" t="s">
        <v>53</v>
      </c>
      <c r="N58" s="12"/>
      <c r="O58" s="9"/>
    </row>
    <row r="59" spans="1:16" x14ac:dyDescent="0.25">
      <c r="B59" s="9" t="s">
        <v>49</v>
      </c>
      <c r="C59" s="9" t="s">
        <v>50</v>
      </c>
      <c r="D59" s="9" t="s">
        <v>51</v>
      </c>
      <c r="E59" s="9" t="s">
        <v>52</v>
      </c>
      <c r="N59" s="12"/>
      <c r="O59" s="9"/>
    </row>
    <row r="60" spans="1:16" x14ac:dyDescent="0.25">
      <c r="A60" s="9">
        <v>399</v>
      </c>
      <c r="B60" s="12">
        <v>2250</v>
      </c>
      <c r="C60" s="12">
        <v>2649</v>
      </c>
      <c r="D60" s="12">
        <v>3048</v>
      </c>
      <c r="E60" s="12">
        <v>3447</v>
      </c>
      <c r="L60" s="12"/>
      <c r="M60" s="12"/>
      <c r="N60" s="12"/>
    </row>
    <row r="61" spans="1:16" x14ac:dyDescent="0.25">
      <c r="N61" s="12"/>
      <c r="O61" s="9"/>
    </row>
  </sheetData>
  <pageMargins left="0.25" right="0.25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86A98-87AC-4A49-B371-506338C552EC}">
  <dimension ref="A1:Q61"/>
  <sheetViews>
    <sheetView zoomScale="80" zoomScaleNormal="80" zoomScaleSheetLayoutView="70" workbookViewId="0">
      <selection activeCell="G17" sqref="G17"/>
    </sheetView>
  </sheetViews>
  <sheetFormatPr defaultRowHeight="15" x14ac:dyDescent="0.25"/>
  <cols>
    <col min="1" max="1" width="39.42578125" style="9" customWidth="1"/>
    <col min="2" max="2" width="14.7109375" style="9" customWidth="1"/>
    <col min="3" max="3" width="15.7109375" style="9" customWidth="1"/>
    <col min="4" max="4" width="11.5703125" style="9" customWidth="1"/>
    <col min="5" max="5" width="15.5703125" style="9" customWidth="1"/>
    <col min="6" max="6" width="9.140625" style="9" customWidth="1"/>
    <col min="7" max="7" width="15.7109375" style="9" customWidth="1"/>
    <col min="8" max="8" width="9.140625" style="9" customWidth="1"/>
    <col min="9" max="9" width="15.7109375" style="9" customWidth="1"/>
    <col min="10" max="10" width="16" style="9" customWidth="1"/>
    <col min="11" max="11" width="16.42578125" style="9" customWidth="1"/>
    <col min="12" max="13" width="21" style="9" customWidth="1"/>
    <col min="14" max="14" width="12.140625" style="9" customWidth="1"/>
    <col min="15" max="15" width="20.85546875" style="12" customWidth="1"/>
    <col min="16" max="16" width="21" style="10" hidden="1" customWidth="1"/>
    <col min="17" max="17" width="13.5703125" style="9" customWidth="1"/>
    <col min="18" max="16384" width="9.140625" style="9"/>
  </cols>
  <sheetData>
    <row r="1" spans="1:17" x14ac:dyDescent="0.25">
      <c r="A1" s="51" t="s">
        <v>77</v>
      </c>
    </row>
    <row r="2" spans="1:17" ht="60" x14ac:dyDescent="0.25">
      <c r="A2" s="52"/>
      <c r="B2" s="53" t="s">
        <v>39</v>
      </c>
      <c r="C2" s="53"/>
      <c r="D2" s="53" t="s">
        <v>40</v>
      </c>
      <c r="E2" s="53"/>
      <c r="F2" s="53" t="s">
        <v>41</v>
      </c>
      <c r="G2" s="53"/>
      <c r="H2" s="53" t="s">
        <v>42</v>
      </c>
      <c r="I2" s="53"/>
      <c r="J2" s="53" t="s">
        <v>43</v>
      </c>
      <c r="K2" s="53"/>
      <c r="L2" s="89" t="s">
        <v>89</v>
      </c>
      <c r="M2" s="54" t="s">
        <v>69</v>
      </c>
      <c r="N2" s="54" t="s">
        <v>90</v>
      </c>
      <c r="O2" s="85" t="s">
        <v>85</v>
      </c>
      <c r="P2" s="55" t="str">
        <f>"FY 2020-21 
with "&amp;O2</f>
        <v>FY 2020-21 
with Guardrail Allocation
(-1%, 10%)</v>
      </c>
      <c r="Q2" s="54" t="s">
        <v>90</v>
      </c>
    </row>
    <row r="3" spans="1:17" x14ac:dyDescent="0.25">
      <c r="A3" s="56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90"/>
      <c r="M3" s="57"/>
      <c r="N3" s="58">
        <f>AVERAGE(N4:N15)</f>
        <v>7.8411608658799994E-2</v>
      </c>
      <c r="O3" s="86"/>
      <c r="P3" s="59"/>
      <c r="Q3" s="60"/>
    </row>
    <row r="4" spans="1:17" x14ac:dyDescent="0.25">
      <c r="A4" s="61" t="s">
        <v>22</v>
      </c>
      <c r="B4" s="62">
        <v>207.5</v>
      </c>
      <c r="C4" s="63">
        <f>B4*$B$51</f>
        <v>446125</v>
      </c>
      <c r="D4" s="62">
        <v>174.5</v>
      </c>
      <c r="E4" s="63">
        <f t="shared" ref="E4:E15" si="0">D4*$C$51</f>
        <v>442357.5</v>
      </c>
      <c r="F4" s="64">
        <v>125.5</v>
      </c>
      <c r="G4" s="63">
        <f t="shared" ref="G4:G15" si="1">F4*$D$51</f>
        <v>366460</v>
      </c>
      <c r="H4" s="64">
        <v>263.5</v>
      </c>
      <c r="I4" s="63">
        <f t="shared" ref="I4:I15" si="2">H4*$E$51</f>
        <v>870867.5</v>
      </c>
      <c r="J4" s="65">
        <v>7.5</v>
      </c>
      <c r="K4" s="63">
        <f t="shared" ref="K4:K15" si="3">J4*$B$51</f>
        <v>16125</v>
      </c>
      <c r="L4" s="91">
        <v>2259818</v>
      </c>
      <c r="M4" s="63">
        <f t="shared" ref="M4:M15" si="4">SUM(K4+I4+G4+E4+C4)</f>
        <v>2141935</v>
      </c>
      <c r="N4" s="66">
        <f t="shared" ref="N4:N15" si="5">(M4-L4)/L4</f>
        <v>-5.2164820352789472E-2</v>
      </c>
      <c r="O4" s="87">
        <f t="shared" ref="O4:O46" si="6">IF(N4&lt;-0.01,L4*0.99,IF(N4&gt;0.1,L4*1.1,M4))</f>
        <v>2237219.8199999998</v>
      </c>
      <c r="P4" s="67">
        <f t="shared" ref="P4:P15" si="7">IF(O4=FALSE,M4,O4)</f>
        <v>2237219.8199999998</v>
      </c>
      <c r="Q4" s="68">
        <f t="shared" ref="Q4:Q15" si="8">(P4-L4)/L4</f>
        <v>-1.0000000000000075E-2</v>
      </c>
    </row>
    <row r="5" spans="1:17" x14ac:dyDescent="0.25">
      <c r="A5" s="61" t="s">
        <v>23</v>
      </c>
      <c r="B5" s="62">
        <v>588</v>
      </c>
      <c r="C5" s="63">
        <f t="shared" ref="C5:C30" si="9">B5*$B$51</f>
        <v>1264200</v>
      </c>
      <c r="D5" s="62">
        <v>759.5</v>
      </c>
      <c r="E5" s="63">
        <f t="shared" si="0"/>
        <v>1925332.5</v>
      </c>
      <c r="F5" s="64">
        <v>574</v>
      </c>
      <c r="G5" s="63">
        <f t="shared" si="1"/>
        <v>1676080</v>
      </c>
      <c r="H5" s="64">
        <v>1157</v>
      </c>
      <c r="I5" s="63">
        <f t="shared" si="2"/>
        <v>3823885</v>
      </c>
      <c r="J5" s="65">
        <v>23</v>
      </c>
      <c r="K5" s="63">
        <f t="shared" si="3"/>
        <v>49450</v>
      </c>
      <c r="L5" s="91">
        <v>8358127</v>
      </c>
      <c r="M5" s="63">
        <f t="shared" si="4"/>
        <v>8738947.5</v>
      </c>
      <c r="N5" s="66">
        <f t="shared" si="5"/>
        <v>4.5562899439072893E-2</v>
      </c>
      <c r="O5" s="87">
        <f t="shared" si="6"/>
        <v>8738947.5</v>
      </c>
      <c r="P5" s="67">
        <f t="shared" si="7"/>
        <v>8738947.5</v>
      </c>
      <c r="Q5" s="68">
        <f t="shared" si="8"/>
        <v>4.5562899439072893E-2</v>
      </c>
    </row>
    <row r="6" spans="1:17" x14ac:dyDescent="0.25">
      <c r="A6" s="61" t="s">
        <v>25</v>
      </c>
      <c r="B6" s="62">
        <v>98.5</v>
      </c>
      <c r="C6" s="63">
        <f t="shared" si="9"/>
        <v>211775</v>
      </c>
      <c r="D6" s="62">
        <v>129.5</v>
      </c>
      <c r="E6" s="63">
        <f t="shared" si="0"/>
        <v>328282.5</v>
      </c>
      <c r="F6" s="64">
        <v>132.5</v>
      </c>
      <c r="G6" s="63">
        <f t="shared" si="1"/>
        <v>386900</v>
      </c>
      <c r="H6" s="64">
        <v>238.5</v>
      </c>
      <c r="I6" s="63">
        <f t="shared" si="2"/>
        <v>788242.5</v>
      </c>
      <c r="J6" s="65">
        <v>5.5</v>
      </c>
      <c r="K6" s="63">
        <f t="shared" si="3"/>
        <v>11825</v>
      </c>
      <c r="L6" s="91">
        <v>1618343</v>
      </c>
      <c r="M6" s="63">
        <f t="shared" si="4"/>
        <v>1727025</v>
      </c>
      <c r="N6" s="66">
        <f t="shared" si="5"/>
        <v>6.7156344483215238E-2</v>
      </c>
      <c r="O6" s="87">
        <f t="shared" si="6"/>
        <v>1727025</v>
      </c>
      <c r="P6" s="67">
        <f t="shared" si="7"/>
        <v>1727025</v>
      </c>
      <c r="Q6" s="68">
        <f t="shared" si="8"/>
        <v>6.7156344483215238E-2</v>
      </c>
    </row>
    <row r="7" spans="1:17" x14ac:dyDescent="0.25">
      <c r="A7" s="61" t="s">
        <v>26</v>
      </c>
      <c r="B7" s="62">
        <v>1176.5</v>
      </c>
      <c r="C7" s="63">
        <f t="shared" si="9"/>
        <v>2529475</v>
      </c>
      <c r="D7" s="62">
        <v>1033</v>
      </c>
      <c r="E7" s="63">
        <f t="shared" si="0"/>
        <v>2618655</v>
      </c>
      <c r="F7" s="64">
        <v>1241.5</v>
      </c>
      <c r="G7" s="63">
        <f t="shared" si="1"/>
        <v>3625180</v>
      </c>
      <c r="H7" s="64">
        <v>1680.5</v>
      </c>
      <c r="I7" s="63">
        <f t="shared" si="2"/>
        <v>5554052.5</v>
      </c>
      <c r="J7" s="65">
        <v>15</v>
      </c>
      <c r="K7" s="63">
        <f t="shared" si="3"/>
        <v>32250</v>
      </c>
      <c r="L7" s="91">
        <v>13125938</v>
      </c>
      <c r="M7" s="63">
        <f t="shared" si="4"/>
        <v>14359612.5</v>
      </c>
      <c r="N7" s="66">
        <f t="shared" si="5"/>
        <v>9.3987530643524289E-2</v>
      </c>
      <c r="O7" s="87">
        <f t="shared" si="6"/>
        <v>14359612.5</v>
      </c>
      <c r="P7" s="67">
        <f t="shared" si="7"/>
        <v>14359612.5</v>
      </c>
      <c r="Q7" s="68">
        <f t="shared" si="8"/>
        <v>9.3987530643524289E-2</v>
      </c>
    </row>
    <row r="8" spans="1:17" x14ac:dyDescent="0.25">
      <c r="A8" s="61" t="s">
        <v>27</v>
      </c>
      <c r="B8" s="62">
        <v>298.5</v>
      </c>
      <c r="C8" s="63">
        <f t="shared" si="9"/>
        <v>641775</v>
      </c>
      <c r="D8" s="62">
        <v>336.5</v>
      </c>
      <c r="E8" s="63">
        <f t="shared" si="0"/>
        <v>853027.5</v>
      </c>
      <c r="F8" s="64">
        <v>356</v>
      </c>
      <c r="G8" s="63">
        <f t="shared" si="1"/>
        <v>1039520</v>
      </c>
      <c r="H8" s="64">
        <v>687</v>
      </c>
      <c r="I8" s="63">
        <f t="shared" si="2"/>
        <v>2270535</v>
      </c>
      <c r="J8" s="65">
        <v>13</v>
      </c>
      <c r="K8" s="63">
        <f t="shared" si="3"/>
        <v>27950</v>
      </c>
      <c r="L8" s="91">
        <v>4579037</v>
      </c>
      <c r="M8" s="63">
        <f t="shared" si="4"/>
        <v>4832807.5</v>
      </c>
      <c r="N8" s="66">
        <f t="shared" si="5"/>
        <v>5.5420058846434306E-2</v>
      </c>
      <c r="O8" s="87">
        <f t="shared" si="6"/>
        <v>4832807.5</v>
      </c>
      <c r="P8" s="67">
        <f t="shared" si="7"/>
        <v>4832807.5</v>
      </c>
      <c r="Q8" s="68">
        <f t="shared" si="8"/>
        <v>5.5420058846434306E-2</v>
      </c>
    </row>
    <row r="9" spans="1:17" x14ac:dyDescent="0.25">
      <c r="A9" s="61" t="s">
        <v>28</v>
      </c>
      <c r="B9" s="62">
        <v>64.5</v>
      </c>
      <c r="C9" s="63">
        <f t="shared" si="9"/>
        <v>138675</v>
      </c>
      <c r="D9" s="62">
        <v>97.5</v>
      </c>
      <c r="E9" s="63">
        <f t="shared" si="0"/>
        <v>247162.5</v>
      </c>
      <c r="F9" s="64">
        <v>110.5</v>
      </c>
      <c r="G9" s="63">
        <f t="shared" si="1"/>
        <v>322660</v>
      </c>
      <c r="H9" s="64">
        <v>212</v>
      </c>
      <c r="I9" s="63">
        <f t="shared" si="2"/>
        <v>700660</v>
      </c>
      <c r="J9" s="65">
        <v>2</v>
      </c>
      <c r="K9" s="63">
        <f t="shared" si="3"/>
        <v>4300</v>
      </c>
      <c r="L9" s="91">
        <v>1497559</v>
      </c>
      <c r="M9" s="63">
        <f t="shared" si="4"/>
        <v>1413457.5</v>
      </c>
      <c r="N9" s="66">
        <f t="shared" si="5"/>
        <v>-5.6159056170741857E-2</v>
      </c>
      <c r="O9" s="87">
        <f t="shared" si="6"/>
        <v>1482583.41</v>
      </c>
      <c r="P9" s="67">
        <f t="shared" si="7"/>
        <v>1482583.41</v>
      </c>
      <c r="Q9" s="68">
        <f t="shared" si="8"/>
        <v>-1.0000000000000056E-2</v>
      </c>
    </row>
    <row r="10" spans="1:17" x14ac:dyDescent="0.25">
      <c r="A10" s="61" t="s">
        <v>29</v>
      </c>
      <c r="B10" s="62">
        <v>1454</v>
      </c>
      <c r="C10" s="63">
        <f t="shared" si="9"/>
        <v>3126100</v>
      </c>
      <c r="D10" s="62">
        <v>1421</v>
      </c>
      <c r="E10" s="63">
        <f t="shared" si="0"/>
        <v>3602235</v>
      </c>
      <c r="F10" s="64">
        <v>1629.5</v>
      </c>
      <c r="G10" s="63">
        <f t="shared" si="1"/>
        <v>4758140</v>
      </c>
      <c r="H10" s="64">
        <v>3412.5</v>
      </c>
      <c r="I10" s="63">
        <f t="shared" si="2"/>
        <v>11278312.5</v>
      </c>
      <c r="J10" s="62">
        <v>24.5</v>
      </c>
      <c r="K10" s="63">
        <f t="shared" si="3"/>
        <v>52675</v>
      </c>
      <c r="L10" s="91">
        <v>20913437</v>
      </c>
      <c r="M10" s="63">
        <f t="shared" si="4"/>
        <v>22817462.5</v>
      </c>
      <c r="N10" s="66">
        <f t="shared" si="5"/>
        <v>9.1043165214785116E-2</v>
      </c>
      <c r="O10" s="87">
        <f t="shared" si="6"/>
        <v>22817462.5</v>
      </c>
      <c r="P10" s="67">
        <f t="shared" si="7"/>
        <v>22817462.5</v>
      </c>
      <c r="Q10" s="68">
        <f t="shared" si="8"/>
        <v>9.1043165214785116E-2</v>
      </c>
    </row>
    <row r="11" spans="1:17" x14ac:dyDescent="0.25">
      <c r="A11" s="61" t="s">
        <v>30</v>
      </c>
      <c r="B11" s="62">
        <v>583.5</v>
      </c>
      <c r="C11" s="63">
        <f t="shared" si="9"/>
        <v>1254525</v>
      </c>
      <c r="D11" s="62">
        <v>819</v>
      </c>
      <c r="E11" s="63">
        <f t="shared" si="0"/>
        <v>2076165</v>
      </c>
      <c r="F11" s="64">
        <v>898</v>
      </c>
      <c r="G11" s="63">
        <f t="shared" si="1"/>
        <v>2622160</v>
      </c>
      <c r="H11" s="64">
        <v>1986.5</v>
      </c>
      <c r="I11" s="63">
        <f t="shared" si="2"/>
        <v>6565382.5</v>
      </c>
      <c r="J11" s="65">
        <v>13.5</v>
      </c>
      <c r="K11" s="63">
        <f t="shared" si="3"/>
        <v>29025</v>
      </c>
      <c r="L11" s="91">
        <v>10546316</v>
      </c>
      <c r="M11" s="63">
        <f t="shared" si="4"/>
        <v>12547257.5</v>
      </c>
      <c r="N11" s="66">
        <f t="shared" si="5"/>
        <v>0.18972895369340345</v>
      </c>
      <c r="O11" s="87">
        <f t="shared" si="6"/>
        <v>11600947.600000001</v>
      </c>
      <c r="P11" s="67">
        <f t="shared" si="7"/>
        <v>11600947.600000001</v>
      </c>
      <c r="Q11" s="68">
        <f t="shared" si="8"/>
        <v>0.10000000000000014</v>
      </c>
    </row>
    <row r="12" spans="1:17" x14ac:dyDescent="0.25">
      <c r="A12" s="61" t="s">
        <v>31</v>
      </c>
      <c r="B12" s="62">
        <v>587.5</v>
      </c>
      <c r="C12" s="63">
        <f t="shared" si="9"/>
        <v>1263125</v>
      </c>
      <c r="D12" s="62">
        <v>620</v>
      </c>
      <c r="E12" s="63">
        <f t="shared" si="0"/>
        <v>1571700</v>
      </c>
      <c r="F12" s="64">
        <v>677</v>
      </c>
      <c r="G12" s="63">
        <f t="shared" si="1"/>
        <v>1976840</v>
      </c>
      <c r="H12" s="64">
        <v>1562</v>
      </c>
      <c r="I12" s="63">
        <f t="shared" si="2"/>
        <v>5162410</v>
      </c>
      <c r="J12" s="65">
        <v>29.5</v>
      </c>
      <c r="K12" s="63">
        <f t="shared" si="3"/>
        <v>63425</v>
      </c>
      <c r="L12" s="91">
        <v>8941951</v>
      </c>
      <c r="M12" s="63">
        <f t="shared" si="4"/>
        <v>10037500</v>
      </c>
      <c r="N12" s="66">
        <f t="shared" si="5"/>
        <v>0.12251789346642585</v>
      </c>
      <c r="O12" s="87">
        <f t="shared" si="6"/>
        <v>9836146.1000000015</v>
      </c>
      <c r="P12" s="67">
        <f t="shared" si="7"/>
        <v>9836146.1000000015</v>
      </c>
      <c r="Q12" s="68">
        <f t="shared" si="8"/>
        <v>0.10000000000000017</v>
      </c>
    </row>
    <row r="13" spans="1:17" x14ac:dyDescent="0.25">
      <c r="A13" s="61" t="s">
        <v>32</v>
      </c>
      <c r="B13" s="62">
        <v>613.5</v>
      </c>
      <c r="C13" s="63">
        <f t="shared" si="9"/>
        <v>1319025</v>
      </c>
      <c r="D13" s="62">
        <v>729.5</v>
      </c>
      <c r="E13" s="63">
        <f t="shared" si="0"/>
        <v>1849282.5</v>
      </c>
      <c r="F13" s="64">
        <v>1063.5</v>
      </c>
      <c r="G13" s="63">
        <f t="shared" si="1"/>
        <v>3105420</v>
      </c>
      <c r="H13" s="64">
        <v>2048.5</v>
      </c>
      <c r="I13" s="63">
        <f t="shared" si="2"/>
        <v>6770292.5</v>
      </c>
      <c r="J13" s="65">
        <v>9.5</v>
      </c>
      <c r="K13" s="63">
        <f t="shared" si="3"/>
        <v>20425</v>
      </c>
      <c r="L13" s="91">
        <v>11286802</v>
      </c>
      <c r="M13" s="63">
        <f t="shared" si="4"/>
        <v>13064445</v>
      </c>
      <c r="N13" s="66">
        <f t="shared" si="5"/>
        <v>0.15749749131773552</v>
      </c>
      <c r="O13" s="87">
        <f t="shared" si="6"/>
        <v>12415482.200000001</v>
      </c>
      <c r="P13" s="67">
        <f t="shared" si="7"/>
        <v>12415482.200000001</v>
      </c>
      <c r="Q13" s="68">
        <f t="shared" si="8"/>
        <v>0.1000000000000001</v>
      </c>
    </row>
    <row r="14" spans="1:17" x14ac:dyDescent="0.25">
      <c r="A14" s="61" t="s">
        <v>33</v>
      </c>
      <c r="B14" s="62">
        <v>647</v>
      </c>
      <c r="C14" s="63">
        <f t="shared" si="9"/>
        <v>1391050</v>
      </c>
      <c r="D14" s="62">
        <v>527</v>
      </c>
      <c r="E14" s="63">
        <f t="shared" si="0"/>
        <v>1335945</v>
      </c>
      <c r="F14" s="64">
        <v>635.5</v>
      </c>
      <c r="G14" s="63">
        <f t="shared" si="1"/>
        <v>1855660</v>
      </c>
      <c r="H14" s="64">
        <v>1298.5</v>
      </c>
      <c r="I14" s="63">
        <f t="shared" si="2"/>
        <v>4291542.5</v>
      </c>
      <c r="J14" s="65">
        <v>3</v>
      </c>
      <c r="K14" s="63">
        <f t="shared" si="3"/>
        <v>6450</v>
      </c>
      <c r="L14" s="91">
        <v>7280013</v>
      </c>
      <c r="M14" s="63">
        <f t="shared" si="4"/>
        <v>8880647.5</v>
      </c>
      <c r="N14" s="66">
        <f t="shared" si="5"/>
        <v>0.21986698375401253</v>
      </c>
      <c r="O14" s="87">
        <f t="shared" si="6"/>
        <v>8008014.3000000007</v>
      </c>
      <c r="P14" s="67">
        <f t="shared" si="7"/>
        <v>8008014.3000000007</v>
      </c>
      <c r="Q14" s="68">
        <f t="shared" si="8"/>
        <v>0.1000000000000001</v>
      </c>
    </row>
    <row r="15" spans="1:17" x14ac:dyDescent="0.25">
      <c r="A15" s="61" t="s">
        <v>34</v>
      </c>
      <c r="B15" s="62">
        <v>71.5</v>
      </c>
      <c r="C15" s="63">
        <f t="shared" si="9"/>
        <v>153725</v>
      </c>
      <c r="D15" s="62">
        <v>99</v>
      </c>
      <c r="E15" s="63">
        <f t="shared" si="0"/>
        <v>250965</v>
      </c>
      <c r="F15" s="64">
        <v>92.5</v>
      </c>
      <c r="G15" s="63">
        <f t="shared" si="1"/>
        <v>270100</v>
      </c>
      <c r="H15" s="64">
        <v>194.5</v>
      </c>
      <c r="I15" s="63">
        <f t="shared" si="2"/>
        <v>642822.5</v>
      </c>
      <c r="J15" s="65">
        <v>0.5</v>
      </c>
      <c r="K15" s="63">
        <f t="shared" si="3"/>
        <v>1075</v>
      </c>
      <c r="L15" s="91">
        <v>1310195</v>
      </c>
      <c r="M15" s="63">
        <f t="shared" si="4"/>
        <v>1318687.5</v>
      </c>
      <c r="N15" s="66">
        <f t="shared" si="5"/>
        <v>6.4818595705219452E-3</v>
      </c>
      <c r="O15" s="87">
        <f t="shared" si="6"/>
        <v>1318687.5</v>
      </c>
      <c r="P15" s="67">
        <f t="shared" si="7"/>
        <v>1318687.5</v>
      </c>
      <c r="Q15" s="68">
        <f t="shared" si="8"/>
        <v>6.4818595705219452E-3</v>
      </c>
    </row>
    <row r="16" spans="1:17" x14ac:dyDescent="0.25">
      <c r="A16" s="69"/>
      <c r="B16" s="65"/>
      <c r="C16" s="63"/>
      <c r="D16" s="62"/>
      <c r="E16" s="63"/>
      <c r="F16" s="65"/>
      <c r="G16" s="63"/>
      <c r="H16" s="65"/>
      <c r="I16" s="63"/>
      <c r="J16" s="65"/>
      <c r="K16" s="63"/>
      <c r="L16" s="92"/>
      <c r="M16" s="63"/>
      <c r="N16" s="66"/>
      <c r="O16" s="87">
        <f t="shared" si="6"/>
        <v>0</v>
      </c>
      <c r="P16" s="67"/>
      <c r="Q16" s="68"/>
    </row>
    <row r="17" spans="1:17" x14ac:dyDescent="0.25">
      <c r="A17" s="70" t="s">
        <v>45</v>
      </c>
      <c r="B17" s="65"/>
      <c r="C17" s="63"/>
      <c r="D17" s="6"/>
      <c r="E17" s="63"/>
      <c r="F17" s="65"/>
      <c r="G17" s="63"/>
      <c r="H17" s="65"/>
      <c r="I17" s="63"/>
      <c r="J17" s="65"/>
      <c r="K17" s="63"/>
      <c r="L17" s="92"/>
      <c r="M17" s="63"/>
      <c r="N17" s="66"/>
      <c r="O17" s="87">
        <f t="shared" si="6"/>
        <v>0</v>
      </c>
      <c r="P17" s="67"/>
      <c r="Q17" s="68"/>
    </row>
    <row r="18" spans="1:17" x14ac:dyDescent="0.25">
      <c r="A18" s="61" t="s">
        <v>2</v>
      </c>
      <c r="B18" s="62">
        <v>528.5</v>
      </c>
      <c r="C18" s="63">
        <f t="shared" si="9"/>
        <v>1136275</v>
      </c>
      <c r="D18" s="64">
        <v>603.5</v>
      </c>
      <c r="E18" s="63">
        <f t="shared" ref="E18:E30" si="10">D18*$C$51</f>
        <v>1529872.5</v>
      </c>
      <c r="F18" s="62">
        <v>3</v>
      </c>
      <c r="G18" s="71">
        <f t="shared" ref="G18" si="11">F18*$D$51</f>
        <v>8760</v>
      </c>
      <c r="H18" s="62"/>
      <c r="I18" s="63"/>
      <c r="J18" s="72"/>
      <c r="K18" s="63"/>
      <c r="L18" s="91">
        <v>3004148</v>
      </c>
      <c r="M18" s="63">
        <f t="shared" ref="M18:M30" si="12">SUM(K18+I18+G18+E18+C18)</f>
        <v>2674907.5</v>
      </c>
      <c r="N18" s="66">
        <f t="shared" ref="N18:N30" si="13">(M18-L18)/L18</f>
        <v>-0.10959529956580036</v>
      </c>
      <c r="O18" s="87">
        <f t="shared" si="6"/>
        <v>2974106.52</v>
      </c>
      <c r="P18" s="67">
        <f t="shared" ref="P18:P30" si="14">IF(O18=FALSE,M18,O18)</f>
        <v>2974106.52</v>
      </c>
      <c r="Q18" s="68">
        <f t="shared" ref="Q18:Q30" si="15">(P18-L18)/L18</f>
        <v>-9.9999999999999933E-3</v>
      </c>
    </row>
    <row r="19" spans="1:17" x14ac:dyDescent="0.25">
      <c r="A19" s="61" t="s">
        <v>3</v>
      </c>
      <c r="B19" s="62">
        <v>58.5</v>
      </c>
      <c r="C19" s="63">
        <f t="shared" si="9"/>
        <v>125775</v>
      </c>
      <c r="D19" s="64">
        <v>145</v>
      </c>
      <c r="E19" s="63">
        <f t="shared" si="10"/>
        <v>367575</v>
      </c>
      <c r="F19" s="62"/>
      <c r="G19" s="71"/>
      <c r="H19" s="62"/>
      <c r="I19" s="63"/>
      <c r="J19" s="72"/>
      <c r="K19" s="63"/>
      <c r="L19" s="91">
        <v>476475</v>
      </c>
      <c r="M19" s="63">
        <f t="shared" si="12"/>
        <v>493350</v>
      </c>
      <c r="N19" s="66">
        <f t="shared" si="13"/>
        <v>3.5416338737604282E-2</v>
      </c>
      <c r="O19" s="87">
        <f t="shared" si="6"/>
        <v>493350</v>
      </c>
      <c r="P19" s="67">
        <f t="shared" si="14"/>
        <v>493350</v>
      </c>
      <c r="Q19" s="68">
        <f t="shared" si="15"/>
        <v>3.5416338737604282E-2</v>
      </c>
    </row>
    <row r="20" spans="1:17" x14ac:dyDescent="0.25">
      <c r="A20" s="61" t="s">
        <v>4</v>
      </c>
      <c r="B20" s="62">
        <v>737</v>
      </c>
      <c r="C20" s="63">
        <f t="shared" si="9"/>
        <v>1584550</v>
      </c>
      <c r="D20" s="64">
        <v>824.5</v>
      </c>
      <c r="E20" s="63">
        <f t="shared" si="10"/>
        <v>2090107.5</v>
      </c>
      <c r="F20" s="62"/>
      <c r="G20" s="71"/>
      <c r="H20" s="62"/>
      <c r="I20" s="63"/>
      <c r="J20" s="72"/>
      <c r="K20" s="63"/>
      <c r="L20" s="91">
        <v>3851839</v>
      </c>
      <c r="M20" s="63">
        <f t="shared" si="12"/>
        <v>3674657.5</v>
      </c>
      <c r="N20" s="66">
        <f t="shared" si="13"/>
        <v>-4.5999196747319913E-2</v>
      </c>
      <c r="O20" s="87">
        <f t="shared" si="6"/>
        <v>3813320.61</v>
      </c>
      <c r="P20" s="67">
        <f t="shared" si="14"/>
        <v>3813320.61</v>
      </c>
      <c r="Q20" s="68">
        <f t="shared" si="15"/>
        <v>-1.0000000000000033E-2</v>
      </c>
    </row>
    <row r="21" spans="1:17" x14ac:dyDescent="0.25">
      <c r="A21" s="61" t="s">
        <v>5</v>
      </c>
      <c r="B21" s="62">
        <v>1169.5</v>
      </c>
      <c r="C21" s="63">
        <f t="shared" si="9"/>
        <v>2514425</v>
      </c>
      <c r="D21" s="64">
        <v>1049</v>
      </c>
      <c r="E21" s="63">
        <f t="shared" si="10"/>
        <v>2659215</v>
      </c>
      <c r="F21" s="62"/>
      <c r="G21" s="71"/>
      <c r="H21" s="62">
        <v>1.5</v>
      </c>
      <c r="I21" s="71">
        <f>H21*$E$51</f>
        <v>4957.5</v>
      </c>
      <c r="J21" s="72">
        <v>0.5</v>
      </c>
      <c r="K21" s="63"/>
      <c r="L21" s="91">
        <v>5340274</v>
      </c>
      <c r="M21" s="63">
        <f t="shared" si="12"/>
        <v>5178597.5</v>
      </c>
      <c r="N21" s="66">
        <f t="shared" si="13"/>
        <v>-3.0274944693849042E-2</v>
      </c>
      <c r="O21" s="87">
        <f t="shared" si="6"/>
        <v>5286871.26</v>
      </c>
      <c r="P21" s="67">
        <f t="shared" si="14"/>
        <v>5286871.26</v>
      </c>
      <c r="Q21" s="68">
        <f t="shared" si="15"/>
        <v>-1.0000000000000042E-2</v>
      </c>
    </row>
    <row r="22" spans="1:17" x14ac:dyDescent="0.25">
      <c r="A22" s="61" t="s">
        <v>6</v>
      </c>
      <c r="B22" s="62">
        <v>1706</v>
      </c>
      <c r="C22" s="63">
        <f t="shared" si="9"/>
        <v>3667900</v>
      </c>
      <c r="D22" s="64">
        <v>1904.5</v>
      </c>
      <c r="E22" s="63">
        <f t="shared" si="10"/>
        <v>4827907.5</v>
      </c>
      <c r="F22" s="62"/>
      <c r="G22" s="71"/>
      <c r="H22" s="62"/>
      <c r="I22" s="71"/>
      <c r="J22" s="72"/>
      <c r="K22" s="63"/>
      <c r="L22" s="91">
        <v>8960400</v>
      </c>
      <c r="M22" s="63">
        <f t="shared" si="12"/>
        <v>8495807.5</v>
      </c>
      <c r="N22" s="66">
        <f t="shared" si="13"/>
        <v>-5.1849526806838978E-2</v>
      </c>
      <c r="O22" s="87">
        <f t="shared" si="6"/>
        <v>8870796</v>
      </c>
      <c r="P22" s="67">
        <f t="shared" si="14"/>
        <v>8870796</v>
      </c>
      <c r="Q22" s="68">
        <f t="shared" si="15"/>
        <v>-0.01</v>
      </c>
    </row>
    <row r="23" spans="1:17" x14ac:dyDescent="0.25">
      <c r="A23" s="61" t="s">
        <v>7</v>
      </c>
      <c r="B23" s="62">
        <v>94</v>
      </c>
      <c r="C23" s="63">
        <f t="shared" si="9"/>
        <v>202100</v>
      </c>
      <c r="D23" s="64">
        <v>150.5</v>
      </c>
      <c r="E23" s="63">
        <f t="shared" si="10"/>
        <v>381517.5</v>
      </c>
      <c r="F23" s="62"/>
      <c r="G23" s="71"/>
      <c r="H23" s="62"/>
      <c r="I23" s="71"/>
      <c r="J23" s="72"/>
      <c r="K23" s="63"/>
      <c r="L23" s="91">
        <v>534912</v>
      </c>
      <c r="M23" s="63">
        <f t="shared" si="12"/>
        <v>583617.5</v>
      </c>
      <c r="N23" s="66">
        <f t="shared" si="13"/>
        <v>9.1053294747547267E-2</v>
      </c>
      <c r="O23" s="87">
        <f t="shared" si="6"/>
        <v>583617.5</v>
      </c>
      <c r="P23" s="67">
        <f t="shared" si="14"/>
        <v>583617.5</v>
      </c>
      <c r="Q23" s="68">
        <f t="shared" si="15"/>
        <v>9.1053294747547267E-2</v>
      </c>
    </row>
    <row r="24" spans="1:17" x14ac:dyDescent="0.25">
      <c r="A24" s="61" t="s">
        <v>8</v>
      </c>
      <c r="B24" s="62">
        <v>76.5</v>
      </c>
      <c r="C24" s="63">
        <f t="shared" si="9"/>
        <v>164475</v>
      </c>
      <c r="D24" s="64">
        <v>151.5</v>
      </c>
      <c r="E24" s="63">
        <f t="shared" si="10"/>
        <v>384052.5</v>
      </c>
      <c r="F24" s="62"/>
      <c r="G24" s="71"/>
      <c r="H24" s="62"/>
      <c r="I24" s="71"/>
      <c r="J24" s="72"/>
      <c r="K24" s="63"/>
      <c r="L24" s="91">
        <v>657553</v>
      </c>
      <c r="M24" s="63">
        <f t="shared" si="12"/>
        <v>548527.5</v>
      </c>
      <c r="N24" s="66">
        <f t="shared" si="13"/>
        <v>-0.16580488568982271</v>
      </c>
      <c r="O24" s="87">
        <f t="shared" si="6"/>
        <v>650977.47</v>
      </c>
      <c r="P24" s="67">
        <f t="shared" si="14"/>
        <v>650977.47</v>
      </c>
      <c r="Q24" s="68">
        <f t="shared" si="15"/>
        <v>-1.0000000000000042E-2</v>
      </c>
    </row>
    <row r="25" spans="1:17" x14ac:dyDescent="0.25">
      <c r="A25" s="61" t="s">
        <v>9</v>
      </c>
      <c r="B25" s="62">
        <v>127.5</v>
      </c>
      <c r="C25" s="63">
        <f t="shared" si="9"/>
        <v>274125</v>
      </c>
      <c r="D25" s="64">
        <v>227</v>
      </c>
      <c r="E25" s="63">
        <f t="shared" si="10"/>
        <v>575445</v>
      </c>
      <c r="F25" s="62"/>
      <c r="G25" s="71"/>
      <c r="H25" s="62"/>
      <c r="I25" s="71"/>
      <c r="J25" s="72"/>
      <c r="K25" s="63"/>
      <c r="L25" s="91">
        <v>866153</v>
      </c>
      <c r="M25" s="63">
        <f t="shared" si="12"/>
        <v>849570</v>
      </c>
      <c r="N25" s="66">
        <f t="shared" si="13"/>
        <v>-1.9145578206159881E-2</v>
      </c>
      <c r="O25" s="87">
        <f t="shared" si="6"/>
        <v>857491.47</v>
      </c>
      <c r="P25" s="67">
        <f t="shared" si="14"/>
        <v>857491.47</v>
      </c>
      <c r="Q25" s="68">
        <f t="shared" si="15"/>
        <v>-1.0000000000000031E-2</v>
      </c>
    </row>
    <row r="26" spans="1:17" x14ac:dyDescent="0.25">
      <c r="A26" s="61" t="s">
        <v>10</v>
      </c>
      <c r="B26" s="62">
        <v>146</v>
      </c>
      <c r="C26" s="63">
        <f t="shared" si="9"/>
        <v>313900</v>
      </c>
      <c r="D26" s="64">
        <v>309.5</v>
      </c>
      <c r="E26" s="63">
        <f t="shared" si="10"/>
        <v>784582.5</v>
      </c>
      <c r="F26" s="62"/>
      <c r="G26" s="71"/>
      <c r="H26" s="62"/>
      <c r="I26" s="71"/>
      <c r="J26" s="72"/>
      <c r="K26" s="63"/>
      <c r="L26" s="91">
        <v>1026685</v>
      </c>
      <c r="M26" s="63">
        <f t="shared" si="12"/>
        <v>1098482.5</v>
      </c>
      <c r="N26" s="66">
        <f t="shared" si="13"/>
        <v>6.9931381095467454E-2</v>
      </c>
      <c r="O26" s="87">
        <f t="shared" si="6"/>
        <v>1098482.5</v>
      </c>
      <c r="P26" s="67">
        <f t="shared" si="14"/>
        <v>1098482.5</v>
      </c>
      <c r="Q26" s="68">
        <f t="shared" si="15"/>
        <v>6.9931381095467454E-2</v>
      </c>
    </row>
    <row r="27" spans="1:17" x14ac:dyDescent="0.25">
      <c r="A27" s="61" t="s">
        <v>11</v>
      </c>
      <c r="B27" s="62">
        <v>1970</v>
      </c>
      <c r="C27" s="63">
        <f t="shared" si="9"/>
        <v>4235500</v>
      </c>
      <c r="D27" s="64">
        <v>2652.5</v>
      </c>
      <c r="E27" s="63">
        <f t="shared" si="10"/>
        <v>6724087.5</v>
      </c>
      <c r="F27" s="62">
        <v>2</v>
      </c>
      <c r="G27" s="71">
        <f>F27*$D$51</f>
        <v>5840</v>
      </c>
      <c r="H27" s="62">
        <v>2</v>
      </c>
      <c r="I27" s="71"/>
      <c r="J27" s="72">
        <v>1</v>
      </c>
      <c r="K27" s="63"/>
      <c r="L27" s="91">
        <v>9993071</v>
      </c>
      <c r="M27" s="63">
        <f t="shared" si="12"/>
        <v>10965427.5</v>
      </c>
      <c r="N27" s="66">
        <f t="shared" si="13"/>
        <v>9.730307129810245E-2</v>
      </c>
      <c r="O27" s="87">
        <f t="shared" si="6"/>
        <v>10965427.5</v>
      </c>
      <c r="P27" s="67">
        <f t="shared" si="14"/>
        <v>10965427.5</v>
      </c>
      <c r="Q27" s="68">
        <f t="shared" si="15"/>
        <v>9.730307129810245E-2</v>
      </c>
    </row>
    <row r="28" spans="1:17" x14ac:dyDescent="0.25">
      <c r="A28" s="61" t="s">
        <v>12</v>
      </c>
      <c r="B28" s="62">
        <v>869.5</v>
      </c>
      <c r="C28" s="63">
        <f t="shared" si="9"/>
        <v>1869425</v>
      </c>
      <c r="D28" s="64">
        <v>1000.5</v>
      </c>
      <c r="E28" s="63">
        <f t="shared" si="10"/>
        <v>2536267.5</v>
      </c>
      <c r="F28" s="62"/>
      <c r="G28" s="71"/>
      <c r="H28" s="62">
        <v>7.5</v>
      </c>
      <c r="I28" s="71">
        <f t="shared" ref="I28:I29" si="16">H28*$E$51</f>
        <v>24787.5</v>
      </c>
      <c r="J28" s="72">
        <v>1</v>
      </c>
      <c r="K28" s="63"/>
      <c r="L28" s="91">
        <v>4756617</v>
      </c>
      <c r="M28" s="63">
        <f t="shared" si="12"/>
        <v>4430480</v>
      </c>
      <c r="N28" s="66">
        <f t="shared" si="13"/>
        <v>-6.8564906529157171E-2</v>
      </c>
      <c r="O28" s="87">
        <f t="shared" si="6"/>
        <v>4709050.83</v>
      </c>
      <c r="P28" s="67">
        <f t="shared" si="14"/>
        <v>4709050.83</v>
      </c>
      <c r="Q28" s="68">
        <f t="shared" si="15"/>
        <v>-9.9999999999999846E-3</v>
      </c>
    </row>
    <row r="29" spans="1:17" x14ac:dyDescent="0.25">
      <c r="A29" s="61" t="s">
        <v>13</v>
      </c>
      <c r="B29" s="62">
        <v>692.5</v>
      </c>
      <c r="C29" s="63">
        <f t="shared" si="9"/>
        <v>1488875</v>
      </c>
      <c r="D29" s="64">
        <v>871.5</v>
      </c>
      <c r="E29" s="63">
        <f t="shared" si="10"/>
        <v>2209252.5</v>
      </c>
      <c r="F29" s="62">
        <v>1</v>
      </c>
      <c r="G29" s="71">
        <f t="shared" ref="G29" si="17">F29*$D$51</f>
        <v>2920</v>
      </c>
      <c r="H29" s="62">
        <v>2</v>
      </c>
      <c r="I29" s="71">
        <f t="shared" si="16"/>
        <v>6610</v>
      </c>
      <c r="J29" s="72"/>
      <c r="K29" s="63"/>
      <c r="L29" s="91">
        <v>3816273</v>
      </c>
      <c r="M29" s="63">
        <f t="shared" si="12"/>
        <v>3707657.5</v>
      </c>
      <c r="N29" s="66">
        <f t="shared" si="13"/>
        <v>-2.846114520633089E-2</v>
      </c>
      <c r="O29" s="87">
        <f t="shared" si="6"/>
        <v>3778110.27</v>
      </c>
      <c r="P29" s="67">
        <f t="shared" si="14"/>
        <v>3778110.27</v>
      </c>
      <c r="Q29" s="68">
        <f t="shared" si="15"/>
        <v>-9.999999999999995E-3</v>
      </c>
    </row>
    <row r="30" spans="1:17" x14ac:dyDescent="0.25">
      <c r="A30" s="61" t="s">
        <v>14</v>
      </c>
      <c r="B30" s="62">
        <v>135.5</v>
      </c>
      <c r="C30" s="63">
        <f t="shared" si="9"/>
        <v>291325</v>
      </c>
      <c r="D30" s="64">
        <v>375</v>
      </c>
      <c r="E30" s="63">
        <f t="shared" si="10"/>
        <v>950625</v>
      </c>
      <c r="F30" s="62"/>
      <c r="G30" s="63"/>
      <c r="H30" s="62"/>
      <c r="I30" s="63"/>
      <c r="J30" s="72">
        <v>2.5</v>
      </c>
      <c r="K30" s="63"/>
      <c r="L30" s="91">
        <v>1172874</v>
      </c>
      <c r="M30" s="63">
        <f t="shared" si="12"/>
        <v>1241950</v>
      </c>
      <c r="N30" s="66">
        <f t="shared" si="13"/>
        <v>5.889464682480812E-2</v>
      </c>
      <c r="O30" s="87">
        <f t="shared" si="6"/>
        <v>1241950</v>
      </c>
      <c r="P30" s="67">
        <f t="shared" si="14"/>
        <v>1241950</v>
      </c>
      <c r="Q30" s="68">
        <f t="shared" si="15"/>
        <v>5.889464682480812E-2</v>
      </c>
    </row>
    <row r="31" spans="1:17" x14ac:dyDescent="0.25">
      <c r="A31" s="69"/>
      <c r="B31" s="65"/>
      <c r="C31" s="63"/>
      <c r="D31" s="62"/>
      <c r="E31" s="63"/>
      <c r="F31" s="65"/>
      <c r="G31" s="63"/>
      <c r="H31" s="65"/>
      <c r="I31" s="63"/>
      <c r="J31" s="65"/>
      <c r="K31" s="63"/>
      <c r="L31" s="92"/>
      <c r="M31" s="63"/>
      <c r="N31" s="66"/>
      <c r="O31" s="87">
        <f t="shared" si="6"/>
        <v>0</v>
      </c>
      <c r="P31" s="67"/>
      <c r="Q31" s="68"/>
    </row>
    <row r="32" spans="1:17" x14ac:dyDescent="0.25">
      <c r="A32" s="70" t="s">
        <v>38</v>
      </c>
      <c r="B32" s="65"/>
      <c r="C32" s="63"/>
      <c r="D32" s="62"/>
      <c r="E32" s="63"/>
      <c r="F32" s="65"/>
      <c r="G32" s="63"/>
      <c r="H32" s="65"/>
      <c r="I32" s="63"/>
      <c r="J32" s="65"/>
      <c r="K32" s="63"/>
      <c r="L32" s="92"/>
      <c r="M32" s="63"/>
      <c r="N32" s="66"/>
      <c r="O32" s="87">
        <f t="shared" si="6"/>
        <v>0</v>
      </c>
      <c r="P32" s="67"/>
      <c r="Q32" s="68"/>
    </row>
    <row r="33" spans="1:17" x14ac:dyDescent="0.25">
      <c r="A33" s="61" t="s">
        <v>1</v>
      </c>
      <c r="B33" s="62">
        <v>899.5</v>
      </c>
      <c r="C33" s="63">
        <f>B33*$B$51</f>
        <v>1933925</v>
      </c>
      <c r="D33" s="64">
        <v>1007</v>
      </c>
      <c r="E33" s="63">
        <f>D33*$C$51</f>
        <v>2552745</v>
      </c>
      <c r="F33" s="65"/>
      <c r="G33" s="63"/>
      <c r="H33" s="65"/>
      <c r="I33" s="63"/>
      <c r="J33" s="65"/>
      <c r="K33" s="63"/>
      <c r="L33" s="91">
        <v>3621278</v>
      </c>
      <c r="M33" s="63">
        <f>SUM(K33+I33+G33+E33+C33)</f>
        <v>4486670</v>
      </c>
      <c r="N33" s="66">
        <f>(M33-L33)/L33</f>
        <v>0.23897419640248554</v>
      </c>
      <c r="O33" s="87">
        <f t="shared" si="6"/>
        <v>3983405.8000000003</v>
      </c>
      <c r="P33" s="67">
        <f>IF(O33=FALSE,M33,O33)</f>
        <v>3983405.8000000003</v>
      </c>
      <c r="Q33" s="68">
        <f>(P33-L33)/L33</f>
        <v>0.10000000000000007</v>
      </c>
    </row>
    <row r="34" spans="1:17" x14ac:dyDescent="0.25">
      <c r="A34" s="61" t="s">
        <v>24</v>
      </c>
      <c r="B34" s="62">
        <v>632</v>
      </c>
      <c r="C34" s="63">
        <f>B34*$B$51</f>
        <v>1358800</v>
      </c>
      <c r="D34" s="62">
        <v>404</v>
      </c>
      <c r="E34" s="63">
        <f>D34*$C$51</f>
        <v>1024140</v>
      </c>
      <c r="F34" s="65">
        <v>25</v>
      </c>
      <c r="G34" s="63">
        <f>F34*$D$51</f>
        <v>73000</v>
      </c>
      <c r="H34" s="65">
        <v>0</v>
      </c>
      <c r="I34" s="63">
        <f>H34*$E$51</f>
        <v>0</v>
      </c>
      <c r="J34" s="65"/>
      <c r="K34" s="63">
        <f>J34*$B$51</f>
        <v>0</v>
      </c>
      <c r="L34" s="91">
        <v>2203668</v>
      </c>
      <c r="M34" s="63">
        <f>SUM(K34+I34+G34+E34+C34)</f>
        <v>2455940</v>
      </c>
      <c r="N34" s="66">
        <f>(M34-L34)/L34</f>
        <v>0.11447822448753624</v>
      </c>
      <c r="O34" s="87">
        <f t="shared" si="6"/>
        <v>2424034.8000000003</v>
      </c>
      <c r="P34" s="67">
        <f>IF(O34=FALSE,M34,O34)</f>
        <v>2424034.8000000003</v>
      </c>
      <c r="Q34" s="68">
        <f>(P34-L34)/L34</f>
        <v>0.10000000000000013</v>
      </c>
    </row>
    <row r="35" spans="1:17" x14ac:dyDescent="0.25">
      <c r="A35" s="69"/>
      <c r="B35" s="65"/>
      <c r="C35" s="63"/>
      <c r="D35" s="62"/>
      <c r="E35" s="63"/>
      <c r="F35" s="65"/>
      <c r="G35" s="63"/>
      <c r="H35" s="65"/>
      <c r="I35" s="63"/>
      <c r="J35" s="65"/>
      <c r="K35" s="63"/>
      <c r="L35" s="92"/>
      <c r="M35" s="63"/>
      <c r="N35" s="66"/>
      <c r="O35" s="87">
        <f t="shared" si="6"/>
        <v>0</v>
      </c>
      <c r="P35" s="67"/>
      <c r="Q35" s="68"/>
    </row>
    <row r="36" spans="1:17" x14ac:dyDescent="0.25">
      <c r="A36" s="70" t="s">
        <v>46</v>
      </c>
      <c r="B36" s="65"/>
      <c r="C36" s="63"/>
      <c r="D36" s="6"/>
      <c r="E36" s="63"/>
      <c r="F36" s="65"/>
      <c r="G36" s="63"/>
      <c r="H36" s="65"/>
      <c r="I36" s="63"/>
      <c r="J36" s="65"/>
      <c r="K36" s="63"/>
      <c r="L36" s="92"/>
      <c r="M36" s="63"/>
      <c r="N36" s="66"/>
      <c r="O36" s="87">
        <f t="shared" si="6"/>
        <v>0</v>
      </c>
      <c r="P36" s="67"/>
      <c r="Q36" s="68"/>
    </row>
    <row r="37" spans="1:17" x14ac:dyDescent="0.25">
      <c r="A37" s="61" t="s">
        <v>18</v>
      </c>
      <c r="B37" s="62">
        <v>186.5</v>
      </c>
      <c r="C37" s="63">
        <f>B37*$B$51</f>
        <v>400975</v>
      </c>
      <c r="D37" s="64">
        <v>234</v>
      </c>
      <c r="E37" s="63">
        <f>D37*$C$51</f>
        <v>593190</v>
      </c>
      <c r="F37" s="65">
        <v>206</v>
      </c>
      <c r="G37" s="63">
        <f>F37*$D$51</f>
        <v>601520</v>
      </c>
      <c r="H37" s="64">
        <v>274</v>
      </c>
      <c r="I37" s="63">
        <f>H37*$E$51</f>
        <v>905570</v>
      </c>
      <c r="J37" s="65">
        <v>1.5</v>
      </c>
      <c r="K37" s="63">
        <f>J37*$B$51</f>
        <v>3225</v>
      </c>
      <c r="L37" s="91">
        <v>2167621</v>
      </c>
      <c r="M37" s="63">
        <f>SUM(K37+I37+G37+E37+C37)</f>
        <v>2504480</v>
      </c>
      <c r="N37" s="66">
        <f>(M37-L37)/L37</f>
        <v>0.15540493471875388</v>
      </c>
      <c r="O37" s="87">
        <f t="shared" si="6"/>
        <v>2384383.1</v>
      </c>
      <c r="P37" s="67">
        <f>IF(O37=FALSE,M37,O37)</f>
        <v>2384383.1</v>
      </c>
      <c r="Q37" s="68">
        <f>(P37-L37)/L37</f>
        <v>0.10000000000000005</v>
      </c>
    </row>
    <row r="38" spans="1:17" x14ac:dyDescent="0.25">
      <c r="A38" s="61" t="s">
        <v>16</v>
      </c>
      <c r="B38" s="62">
        <v>12</v>
      </c>
      <c r="C38" s="63">
        <f>B38*$B$51</f>
        <v>25800</v>
      </c>
      <c r="D38" s="64">
        <v>13.5</v>
      </c>
      <c r="E38" s="63">
        <f>D38*$C$51</f>
        <v>34222.5</v>
      </c>
      <c r="F38" s="65">
        <v>14</v>
      </c>
      <c r="G38" s="63">
        <f>F38*$D$51</f>
        <v>40880</v>
      </c>
      <c r="H38" s="64">
        <v>18.5</v>
      </c>
      <c r="I38" s="63">
        <f>H38*$E$51</f>
        <v>61142.5</v>
      </c>
      <c r="J38" s="65"/>
      <c r="K38" s="63"/>
      <c r="L38" s="91">
        <v>158879</v>
      </c>
      <c r="M38" s="63">
        <f>SUM(K38+I38+G38+E38+C38)</f>
        <v>162045</v>
      </c>
      <c r="N38" s="66">
        <f>(M38-L38)/L38</f>
        <v>1.9927114344878809E-2</v>
      </c>
      <c r="O38" s="87">
        <f t="shared" si="6"/>
        <v>162045</v>
      </c>
      <c r="P38" s="67">
        <f>IF(O38=FALSE,M38,O38)</f>
        <v>162045</v>
      </c>
      <c r="Q38" s="68">
        <f>(P38-L38)/L38</f>
        <v>1.9927114344878809E-2</v>
      </c>
    </row>
    <row r="39" spans="1:17" x14ac:dyDescent="0.25">
      <c r="A39" s="61" t="s">
        <v>17</v>
      </c>
      <c r="B39" s="62">
        <v>30</v>
      </c>
      <c r="C39" s="63">
        <f>B39*$B$51</f>
        <v>64500</v>
      </c>
      <c r="D39" s="64">
        <v>23</v>
      </c>
      <c r="E39" s="63">
        <f>D39*$C$51</f>
        <v>58305</v>
      </c>
      <c r="F39" s="65">
        <v>25.5</v>
      </c>
      <c r="G39" s="63">
        <f>F39*$D$51</f>
        <v>74460</v>
      </c>
      <c r="H39" s="64">
        <v>26</v>
      </c>
      <c r="I39" s="63">
        <f>H39*$E$51</f>
        <v>85930</v>
      </c>
      <c r="J39" s="65"/>
      <c r="K39" s="63"/>
      <c r="L39" s="91">
        <v>126850</v>
      </c>
      <c r="M39" s="63">
        <f>SUM(K39+I39+G39+E39+C39)</f>
        <v>283195</v>
      </c>
      <c r="N39" s="66">
        <f>(M39-L39)/L39</f>
        <v>1.2325187229010643</v>
      </c>
      <c r="O39" s="87">
        <f t="shared" si="6"/>
        <v>139535</v>
      </c>
      <c r="P39" s="67">
        <f>IF(O39=FALSE,M39,O39)</f>
        <v>139535</v>
      </c>
      <c r="Q39" s="68">
        <f>(P39-L39)/L39</f>
        <v>0.1</v>
      </c>
    </row>
    <row r="40" spans="1:17" x14ac:dyDescent="0.25">
      <c r="A40" s="61" t="s">
        <v>19</v>
      </c>
      <c r="B40" s="62">
        <v>147.5</v>
      </c>
      <c r="C40" s="63">
        <f>B40*$B$51</f>
        <v>317125</v>
      </c>
      <c r="D40" s="64">
        <v>125.5</v>
      </c>
      <c r="E40" s="63">
        <f>D40*$C$51</f>
        <v>318142.5</v>
      </c>
      <c r="F40" s="65">
        <v>187.5</v>
      </c>
      <c r="G40" s="63">
        <f>F40*$D$51</f>
        <v>547500</v>
      </c>
      <c r="H40" s="64">
        <v>313</v>
      </c>
      <c r="I40" s="63">
        <f>H40*$E$51</f>
        <v>1034465</v>
      </c>
      <c r="J40" s="65">
        <v>6.5</v>
      </c>
      <c r="K40" s="63">
        <f>J40*$B$51</f>
        <v>13975</v>
      </c>
      <c r="L40" s="91">
        <v>2410209</v>
      </c>
      <c r="M40" s="63">
        <f>SUM(K40+I40+G40+E40+C40)</f>
        <v>2231207.5</v>
      </c>
      <c r="N40" s="66">
        <f>(M40-L40)/L40</f>
        <v>-7.426804065539544E-2</v>
      </c>
      <c r="O40" s="87">
        <f t="shared" si="6"/>
        <v>2386106.91</v>
      </c>
      <c r="P40" s="67">
        <f>IF(O40=FALSE,M40,O40)</f>
        <v>2386106.91</v>
      </c>
      <c r="Q40" s="68">
        <f>(P40-L40)/L40</f>
        <v>-9.9999999999999378E-3</v>
      </c>
    </row>
    <row r="41" spans="1:17" x14ac:dyDescent="0.25">
      <c r="A41" s="61" t="s">
        <v>20</v>
      </c>
      <c r="B41" s="62">
        <v>48</v>
      </c>
      <c r="C41" s="63">
        <f>B41*$B$51</f>
        <v>103200</v>
      </c>
      <c r="D41" s="64">
        <v>135</v>
      </c>
      <c r="E41" s="63">
        <f>D41*$C$51</f>
        <v>342225</v>
      </c>
      <c r="F41" s="65">
        <v>126.5</v>
      </c>
      <c r="G41" s="63">
        <f>F41*$D$51</f>
        <v>369380</v>
      </c>
      <c r="H41" s="64">
        <v>250</v>
      </c>
      <c r="I41" s="63">
        <f>H41*$E$51</f>
        <v>826250</v>
      </c>
      <c r="J41" s="65">
        <v>0.5</v>
      </c>
      <c r="K41" s="63">
        <f>J41*$B$51</f>
        <v>1075</v>
      </c>
      <c r="L41" s="91">
        <v>1460713</v>
      </c>
      <c r="M41" s="63">
        <f>SUM(K41+I41+G41+E41+C41)</f>
        <v>1642130</v>
      </c>
      <c r="N41" s="66">
        <f>(M41-L41)/L41</f>
        <v>0.1241975665308654</v>
      </c>
      <c r="O41" s="87">
        <f t="shared" si="6"/>
        <v>1606784.3</v>
      </c>
      <c r="P41" s="67">
        <f>IF(O41=FALSE,M41,O41)</f>
        <v>1606784.3</v>
      </c>
      <c r="Q41" s="68">
        <f>(P41-L41)/L41</f>
        <v>0.10000000000000003</v>
      </c>
    </row>
    <row r="42" spans="1:17" x14ac:dyDescent="0.25">
      <c r="A42" s="69"/>
      <c r="B42" s="65"/>
      <c r="C42" s="63"/>
      <c r="D42" s="62"/>
      <c r="E42" s="63"/>
      <c r="F42" s="65"/>
      <c r="G42" s="63"/>
      <c r="H42" s="62"/>
      <c r="I42" s="63"/>
      <c r="J42" s="65"/>
      <c r="K42" s="63"/>
      <c r="L42" s="92"/>
      <c r="M42" s="63"/>
      <c r="N42" s="66"/>
      <c r="O42" s="87">
        <f t="shared" si="6"/>
        <v>0</v>
      </c>
      <c r="P42" s="67"/>
      <c r="Q42" s="68"/>
    </row>
    <row r="43" spans="1:17" x14ac:dyDescent="0.25">
      <c r="A43" s="70" t="s">
        <v>47</v>
      </c>
      <c r="B43" s="65"/>
      <c r="C43" s="63"/>
      <c r="D43" s="62"/>
      <c r="E43" s="63"/>
      <c r="F43" s="65"/>
      <c r="G43" s="63"/>
      <c r="H43" s="62"/>
      <c r="I43" s="63"/>
      <c r="J43" s="65"/>
      <c r="K43" s="63"/>
      <c r="L43" s="92"/>
      <c r="M43" s="63"/>
      <c r="N43" s="66"/>
      <c r="O43" s="87">
        <f t="shared" si="6"/>
        <v>0</v>
      </c>
      <c r="P43" s="67"/>
      <c r="Q43" s="68"/>
    </row>
    <row r="44" spans="1:17" x14ac:dyDescent="0.25">
      <c r="A44" s="61" t="s">
        <v>37</v>
      </c>
      <c r="B44" s="62">
        <v>32.5</v>
      </c>
      <c r="C44" s="63">
        <f>B44*$B$51</f>
        <v>69875</v>
      </c>
      <c r="D44" s="64">
        <v>24</v>
      </c>
      <c r="E44" s="63">
        <f t="shared" ref="E44:E46" si="18">D44*$C$51</f>
        <v>60840</v>
      </c>
      <c r="F44" s="65"/>
      <c r="G44" s="63"/>
      <c r="H44" s="62"/>
      <c r="I44" s="63"/>
      <c r="J44" s="65"/>
      <c r="K44" s="63"/>
      <c r="L44" s="91">
        <v>151048</v>
      </c>
      <c r="M44" s="63">
        <f>SUM(K44+I44+G44+E44+C44)</f>
        <v>130715</v>
      </c>
      <c r="N44" s="66">
        <f>(M44-L44)/L44</f>
        <v>-0.13461283830305598</v>
      </c>
      <c r="O44" s="87">
        <f t="shared" si="6"/>
        <v>149537.51999999999</v>
      </c>
      <c r="P44" s="67">
        <f>IF(O44=FALSE,M44,O44)</f>
        <v>149537.51999999999</v>
      </c>
      <c r="Q44" s="68">
        <f>(P44-L44)/L44</f>
        <v>-1.000000000000007E-2</v>
      </c>
    </row>
    <row r="45" spans="1:17" x14ac:dyDescent="0.25">
      <c r="A45" s="61" t="s">
        <v>35</v>
      </c>
      <c r="B45" s="62">
        <v>490</v>
      </c>
      <c r="C45" s="63">
        <f>B45*$B$51</f>
        <v>1053500</v>
      </c>
      <c r="D45" s="64"/>
      <c r="E45" s="63">
        <f t="shared" si="18"/>
        <v>0</v>
      </c>
      <c r="F45" s="65"/>
      <c r="G45" s="63"/>
      <c r="H45" s="62"/>
      <c r="I45" s="63"/>
      <c r="J45" s="65"/>
      <c r="K45" s="63"/>
      <c r="L45" s="91">
        <v>717977</v>
      </c>
      <c r="M45" s="63">
        <f>SUM(K45+I45+G45+E45+C45)</f>
        <v>1053500</v>
      </c>
      <c r="N45" s="66">
        <f>(M45-L45)/L45</f>
        <v>0.4673171981832287</v>
      </c>
      <c r="O45" s="87">
        <f t="shared" si="6"/>
        <v>789774.70000000007</v>
      </c>
      <c r="P45" s="67">
        <f>IF(O45=FALSE,M45,O45)</f>
        <v>789774.70000000007</v>
      </c>
      <c r="Q45" s="68">
        <f>(P45-L45)/L45</f>
        <v>0.1000000000000001</v>
      </c>
    </row>
    <row r="46" spans="1:17" x14ac:dyDescent="0.25">
      <c r="A46" s="61" t="s">
        <v>36</v>
      </c>
      <c r="B46" s="62">
        <v>110</v>
      </c>
      <c r="C46" s="63">
        <f>B46*$B$51</f>
        <v>236500</v>
      </c>
      <c r="D46" s="73">
        <v>93.5</v>
      </c>
      <c r="E46" s="74">
        <f t="shared" si="18"/>
        <v>237022.5</v>
      </c>
      <c r="F46" s="75"/>
      <c r="G46" s="67"/>
      <c r="H46" s="73">
        <v>2</v>
      </c>
      <c r="I46" s="67">
        <f t="shared" ref="I46" si="19">H46*$E$51</f>
        <v>6610</v>
      </c>
      <c r="J46" s="65"/>
      <c r="K46" s="63"/>
      <c r="L46" s="91">
        <v>542250</v>
      </c>
      <c r="M46" s="63">
        <f>SUM(K46+I46+G46+E46+C46)</f>
        <v>480132.5</v>
      </c>
      <c r="N46" s="66">
        <f>(M46-L46)/L46</f>
        <v>-0.11455509451360074</v>
      </c>
      <c r="O46" s="87">
        <f t="shared" si="6"/>
        <v>536827.5</v>
      </c>
      <c r="P46" s="67">
        <f>IF(O46=FALSE,M46,O46)</f>
        <v>536827.5</v>
      </c>
      <c r="Q46" s="68">
        <f>(P46-L46)/L46</f>
        <v>-0.01</v>
      </c>
    </row>
    <row r="47" spans="1:17" ht="18.75" x14ac:dyDescent="0.3">
      <c r="A47" s="76" t="s">
        <v>48</v>
      </c>
      <c r="B47" s="77">
        <f>SUM(B4:B46)</f>
        <v>17289.5</v>
      </c>
      <c r="C47" s="78">
        <f>SUM(C4:C46)</f>
        <v>37172425</v>
      </c>
      <c r="D47" s="77">
        <f>SUM(D4:D46)</f>
        <v>19070</v>
      </c>
      <c r="E47" s="78">
        <f>SUM(E4:E46)</f>
        <v>48342450</v>
      </c>
      <c r="F47" s="79">
        <f>SUM(F4:F41)</f>
        <v>8126.5</v>
      </c>
      <c r="G47" s="78">
        <f>SUM(G4:G41)</f>
        <v>23729380</v>
      </c>
      <c r="H47" s="77">
        <f>SUM(H4:H41)</f>
        <v>15635.5</v>
      </c>
      <c r="I47" s="78">
        <f>SUM(I4:I46)</f>
        <v>51675327.5</v>
      </c>
      <c r="J47" s="79">
        <f>SUM(J4:J41)</f>
        <v>160</v>
      </c>
      <c r="K47" s="78">
        <f>SUM(K4:K46)</f>
        <v>333250</v>
      </c>
      <c r="L47" s="93">
        <f>SUM(L4:L46)</f>
        <v>149735303</v>
      </c>
      <c r="M47" s="78">
        <f>SUM(K47+I47+G47+E47+C47)</f>
        <v>161252832.5</v>
      </c>
      <c r="N47" s="80">
        <f>(M47-L47)/L47</f>
        <v>7.6919265325158484E-2</v>
      </c>
      <c r="O47" s="88">
        <f>SUM(O4:O46)</f>
        <v>159260922.49000004</v>
      </c>
      <c r="P47" s="81">
        <f>SUM(P4:P46)</f>
        <v>159260922.49000004</v>
      </c>
      <c r="Q47" s="82">
        <f>(P47-L47)/L47</f>
        <v>6.3616390384571092E-2</v>
      </c>
    </row>
    <row r="48" spans="1:17" x14ac:dyDescent="0.25">
      <c r="A48" s="11"/>
      <c r="M48" s="13"/>
    </row>
    <row r="49" spans="1:16" x14ac:dyDescent="0.25">
      <c r="L49" s="15"/>
      <c r="P49" s="8">
        <v>173306927.19999999</v>
      </c>
    </row>
    <row r="50" spans="1:16" x14ac:dyDescent="0.25">
      <c r="A50" s="11" t="s">
        <v>55</v>
      </c>
      <c r="B50" s="9" t="s">
        <v>49</v>
      </c>
      <c r="C50" s="9" t="s">
        <v>50</v>
      </c>
      <c r="D50" s="9" t="s">
        <v>51</v>
      </c>
      <c r="E50" s="9" t="s">
        <v>52</v>
      </c>
      <c r="K50" s="11"/>
      <c r="N50" s="12"/>
      <c r="O50" s="9"/>
      <c r="P50" s="10" t="s">
        <v>60</v>
      </c>
    </row>
    <row r="51" spans="1:16" x14ac:dyDescent="0.25">
      <c r="A51" s="9">
        <v>385</v>
      </c>
      <c r="B51" s="12">
        <v>2150</v>
      </c>
      <c r="C51" s="12">
        <f>B51+A51</f>
        <v>2535</v>
      </c>
      <c r="D51" s="12">
        <f>C51+A51</f>
        <v>2920</v>
      </c>
      <c r="E51" s="12">
        <f>D51+A51</f>
        <v>3305</v>
      </c>
      <c r="L51" s="12"/>
      <c r="M51" s="12"/>
      <c r="N51" s="12"/>
    </row>
    <row r="52" spans="1:16" x14ac:dyDescent="0.25">
      <c r="N52" s="12"/>
      <c r="O52" s="9"/>
    </row>
    <row r="53" spans="1:16" x14ac:dyDescent="0.25">
      <c r="N53" s="12"/>
      <c r="O53" s="9"/>
    </row>
    <row r="54" spans="1:16" x14ac:dyDescent="0.25">
      <c r="N54" s="12"/>
      <c r="O54" s="9"/>
    </row>
    <row r="55" spans="1:16" x14ac:dyDescent="0.25">
      <c r="A55" s="9" t="s">
        <v>56</v>
      </c>
      <c r="B55" s="12">
        <f>P49-P47</f>
        <v>14046004.709999949</v>
      </c>
      <c r="L55" s="12"/>
      <c r="N55" s="12"/>
      <c r="O55" s="9"/>
    </row>
    <row r="56" spans="1:16" x14ac:dyDescent="0.25">
      <c r="B56" s="14"/>
      <c r="L56" s="14"/>
      <c r="N56" s="12"/>
      <c r="O56" s="9"/>
    </row>
    <row r="57" spans="1:16" x14ac:dyDescent="0.25">
      <c r="N57" s="12"/>
      <c r="O57" s="9"/>
    </row>
    <row r="58" spans="1:16" x14ac:dyDescent="0.25">
      <c r="A58" s="9" t="s">
        <v>53</v>
      </c>
      <c r="N58" s="12"/>
      <c r="O58" s="9"/>
    </row>
    <row r="59" spans="1:16" x14ac:dyDescent="0.25">
      <c r="B59" s="9" t="s">
        <v>49</v>
      </c>
      <c r="C59" s="9" t="s">
        <v>50</v>
      </c>
      <c r="D59" s="9" t="s">
        <v>51</v>
      </c>
      <c r="E59" s="9" t="s">
        <v>52</v>
      </c>
      <c r="N59" s="12"/>
      <c r="O59" s="9"/>
    </row>
    <row r="60" spans="1:16" x14ac:dyDescent="0.25">
      <c r="A60" s="9">
        <v>399</v>
      </c>
      <c r="B60" s="12">
        <v>2250</v>
      </c>
      <c r="C60" s="12">
        <v>2649</v>
      </c>
      <c r="D60" s="12">
        <v>3048</v>
      </c>
      <c r="E60" s="12">
        <v>3447</v>
      </c>
      <c r="L60" s="12"/>
      <c r="M60" s="12"/>
      <c r="N60" s="12"/>
    </row>
    <row r="61" spans="1:16" x14ac:dyDescent="0.25">
      <c r="N61" s="12"/>
      <c r="O61" s="9"/>
    </row>
  </sheetData>
  <pageMargins left="0.25" right="0.25" top="0.75" bottom="0.7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389A-CE60-4628-812D-16329529DE14}">
  <dimension ref="A1:Q61"/>
  <sheetViews>
    <sheetView zoomScale="80" zoomScaleNormal="80" zoomScaleSheetLayoutView="80" workbookViewId="0">
      <selection activeCell="G17" sqref="G17"/>
    </sheetView>
  </sheetViews>
  <sheetFormatPr defaultRowHeight="15" x14ac:dyDescent="0.25"/>
  <cols>
    <col min="1" max="1" width="39.42578125" style="9" customWidth="1"/>
    <col min="2" max="2" width="14.7109375" style="9" customWidth="1"/>
    <col min="3" max="3" width="15.7109375" style="9" customWidth="1"/>
    <col min="4" max="4" width="11.5703125" style="9" customWidth="1"/>
    <col min="5" max="5" width="15.5703125" style="9" customWidth="1"/>
    <col min="6" max="6" width="9.140625" style="9" customWidth="1"/>
    <col min="7" max="7" width="15.7109375" style="9" customWidth="1"/>
    <col min="8" max="8" width="9.140625" style="9" customWidth="1"/>
    <col min="9" max="9" width="15.7109375" style="9" customWidth="1"/>
    <col min="10" max="10" width="16" style="9" customWidth="1"/>
    <col min="11" max="11" width="16.42578125" style="9" customWidth="1"/>
    <col min="12" max="13" width="21" style="9" customWidth="1"/>
    <col min="14" max="14" width="12.140625" style="9" customWidth="1"/>
    <col min="15" max="15" width="20.85546875" style="12" customWidth="1"/>
    <col min="16" max="16" width="21" style="10" hidden="1" customWidth="1"/>
    <col min="17" max="17" width="13.5703125" style="9" customWidth="1"/>
    <col min="18" max="16384" width="9.140625" style="9"/>
  </cols>
  <sheetData>
    <row r="1" spans="1:17" x14ac:dyDescent="0.25">
      <c r="A1" s="51" t="s">
        <v>78</v>
      </c>
    </row>
    <row r="2" spans="1:17" ht="60" x14ac:dyDescent="0.25">
      <c r="A2" s="52"/>
      <c r="B2" s="53" t="s">
        <v>39</v>
      </c>
      <c r="C2" s="53"/>
      <c r="D2" s="53" t="s">
        <v>40</v>
      </c>
      <c r="E2" s="53"/>
      <c r="F2" s="53" t="s">
        <v>41</v>
      </c>
      <c r="G2" s="53"/>
      <c r="H2" s="53" t="s">
        <v>42</v>
      </c>
      <c r="I2" s="53"/>
      <c r="J2" s="53" t="s">
        <v>43</v>
      </c>
      <c r="K2" s="53"/>
      <c r="L2" s="89" t="s">
        <v>89</v>
      </c>
      <c r="M2" s="54" t="s">
        <v>69</v>
      </c>
      <c r="N2" s="54" t="s">
        <v>90</v>
      </c>
      <c r="O2" s="85" t="s">
        <v>86</v>
      </c>
      <c r="P2" s="55" t="str">
        <f>"FY 2020-21 
with "&amp;O2</f>
        <v>FY 2020-21 
with Guardrail Allocation
(-5%, 12%)</v>
      </c>
      <c r="Q2" s="54" t="s">
        <v>90</v>
      </c>
    </row>
    <row r="3" spans="1:17" x14ac:dyDescent="0.25">
      <c r="A3" s="56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90"/>
      <c r="M3" s="57"/>
      <c r="N3" s="58">
        <f>AVERAGE(N4:N15)</f>
        <v>0.14510656380449938</v>
      </c>
      <c r="O3" s="86"/>
      <c r="P3" s="59"/>
      <c r="Q3" s="60"/>
    </row>
    <row r="4" spans="1:17" x14ac:dyDescent="0.25">
      <c r="A4" s="61" t="s">
        <v>22</v>
      </c>
      <c r="B4" s="62">
        <v>207.5</v>
      </c>
      <c r="C4" s="63">
        <f>B4*$B$51</f>
        <v>475175</v>
      </c>
      <c r="D4" s="62">
        <v>174.5</v>
      </c>
      <c r="E4" s="63">
        <f t="shared" ref="E4:E15" si="0">D4*$C$51</f>
        <v>470277.5</v>
      </c>
      <c r="F4" s="64">
        <v>125.5</v>
      </c>
      <c r="G4" s="63">
        <f t="shared" ref="G4:G15" si="1">F4*$D$51</f>
        <v>389050</v>
      </c>
      <c r="H4" s="64">
        <v>263.5</v>
      </c>
      <c r="I4" s="63">
        <f t="shared" ref="I4:I15" si="2">H4*$E$51</f>
        <v>923567.5</v>
      </c>
      <c r="J4" s="65">
        <v>7.5</v>
      </c>
      <c r="K4" s="63">
        <f t="shared" ref="K4:K15" si="3">J4*$B$51</f>
        <v>17175</v>
      </c>
      <c r="L4" s="91">
        <v>2259818</v>
      </c>
      <c r="M4" s="63">
        <f t="shared" ref="M4:M15" si="4">SUM(K4+I4+G4+E4+C4)</f>
        <v>2275245</v>
      </c>
      <c r="N4" s="66">
        <f t="shared" ref="N4:N15" si="5">(M4-L4)/L4</f>
        <v>6.8266559519394926E-3</v>
      </c>
      <c r="O4" s="87">
        <f t="shared" ref="O4:O46" si="6">IF(N4&lt;-0.05,L4*0.95,IF(N4&gt;0.12,L4*1.12,M4))</f>
        <v>2275245</v>
      </c>
      <c r="P4" s="67">
        <f t="shared" ref="P4:P15" si="7">IF(O4=FALSE,M4,O4)</f>
        <v>2275245</v>
      </c>
      <c r="Q4" s="68">
        <f t="shared" ref="Q4:Q15" si="8">(P4-L4)/L4</f>
        <v>6.8266559519394926E-3</v>
      </c>
    </row>
    <row r="5" spans="1:17" x14ac:dyDescent="0.25">
      <c r="A5" s="61" t="s">
        <v>23</v>
      </c>
      <c r="B5" s="62">
        <v>588</v>
      </c>
      <c r="C5" s="63">
        <f t="shared" ref="C5:C30" si="9">B5*$B$51</f>
        <v>1346520</v>
      </c>
      <c r="D5" s="62">
        <v>759.5</v>
      </c>
      <c r="E5" s="63">
        <f t="shared" si="0"/>
        <v>2046852.5</v>
      </c>
      <c r="F5" s="64">
        <v>574</v>
      </c>
      <c r="G5" s="63">
        <f t="shared" si="1"/>
        <v>1779400</v>
      </c>
      <c r="H5" s="64">
        <v>1157</v>
      </c>
      <c r="I5" s="63">
        <f t="shared" si="2"/>
        <v>4055285</v>
      </c>
      <c r="J5" s="65">
        <v>23</v>
      </c>
      <c r="K5" s="63">
        <f t="shared" si="3"/>
        <v>52670</v>
      </c>
      <c r="L5" s="91">
        <v>8358127</v>
      </c>
      <c r="M5" s="63">
        <f t="shared" si="4"/>
        <v>9280727.5</v>
      </c>
      <c r="N5" s="66">
        <f t="shared" si="5"/>
        <v>0.1103836421724628</v>
      </c>
      <c r="O5" s="87">
        <f t="shared" si="6"/>
        <v>9280727.5</v>
      </c>
      <c r="P5" s="67">
        <f t="shared" si="7"/>
        <v>9280727.5</v>
      </c>
      <c r="Q5" s="68">
        <f t="shared" si="8"/>
        <v>0.1103836421724628</v>
      </c>
    </row>
    <row r="6" spans="1:17" x14ac:dyDescent="0.25">
      <c r="A6" s="61" t="s">
        <v>25</v>
      </c>
      <c r="B6" s="62">
        <v>98.5</v>
      </c>
      <c r="C6" s="63">
        <f t="shared" si="9"/>
        <v>225565</v>
      </c>
      <c r="D6" s="62">
        <v>129.5</v>
      </c>
      <c r="E6" s="63">
        <f t="shared" si="0"/>
        <v>349002.5</v>
      </c>
      <c r="F6" s="64">
        <v>132.5</v>
      </c>
      <c r="G6" s="63">
        <f t="shared" si="1"/>
        <v>410750</v>
      </c>
      <c r="H6" s="64">
        <v>238.5</v>
      </c>
      <c r="I6" s="63">
        <f t="shared" si="2"/>
        <v>835942.5</v>
      </c>
      <c r="J6" s="65">
        <v>5.5</v>
      </c>
      <c r="K6" s="63">
        <f t="shared" si="3"/>
        <v>12595</v>
      </c>
      <c r="L6" s="91">
        <v>1618343</v>
      </c>
      <c r="M6" s="63">
        <f t="shared" si="4"/>
        <v>1833855</v>
      </c>
      <c r="N6" s="66">
        <f t="shared" si="5"/>
        <v>0.13316830857241019</v>
      </c>
      <c r="O6" s="87">
        <f t="shared" si="6"/>
        <v>1812544.1600000001</v>
      </c>
      <c r="P6" s="67">
        <f t="shared" si="7"/>
        <v>1812544.1600000001</v>
      </c>
      <c r="Q6" s="68">
        <f t="shared" si="8"/>
        <v>0.12000000000000009</v>
      </c>
    </row>
    <row r="7" spans="1:17" x14ac:dyDescent="0.25">
      <c r="A7" s="61" t="s">
        <v>26</v>
      </c>
      <c r="B7" s="62">
        <v>1176.5</v>
      </c>
      <c r="C7" s="63">
        <f t="shared" si="9"/>
        <v>2694185</v>
      </c>
      <c r="D7" s="62">
        <v>1033</v>
      </c>
      <c r="E7" s="63">
        <f t="shared" si="0"/>
        <v>2783935</v>
      </c>
      <c r="F7" s="64">
        <v>1241.5</v>
      </c>
      <c r="G7" s="63">
        <f t="shared" si="1"/>
        <v>3848650</v>
      </c>
      <c r="H7" s="64">
        <v>1680.5</v>
      </c>
      <c r="I7" s="63">
        <f t="shared" si="2"/>
        <v>5890152.5</v>
      </c>
      <c r="J7" s="65">
        <v>15</v>
      </c>
      <c r="K7" s="63">
        <f t="shared" si="3"/>
        <v>34350</v>
      </c>
      <c r="L7" s="91">
        <v>13125938</v>
      </c>
      <c r="M7" s="63">
        <f t="shared" si="4"/>
        <v>15251272.5</v>
      </c>
      <c r="N7" s="66">
        <f t="shared" si="5"/>
        <v>0.16191867583101491</v>
      </c>
      <c r="O7" s="87">
        <f t="shared" si="6"/>
        <v>14701050.560000001</v>
      </c>
      <c r="P7" s="67">
        <f t="shared" si="7"/>
        <v>14701050.560000001</v>
      </c>
      <c r="Q7" s="68">
        <f t="shared" si="8"/>
        <v>0.12000000000000004</v>
      </c>
    </row>
    <row r="8" spans="1:17" x14ac:dyDescent="0.25">
      <c r="A8" s="61" t="s">
        <v>27</v>
      </c>
      <c r="B8" s="62">
        <v>298.5</v>
      </c>
      <c r="C8" s="63">
        <f t="shared" si="9"/>
        <v>683565</v>
      </c>
      <c r="D8" s="62">
        <v>336.5</v>
      </c>
      <c r="E8" s="63">
        <f t="shared" si="0"/>
        <v>906867.5</v>
      </c>
      <c r="F8" s="64">
        <v>356</v>
      </c>
      <c r="G8" s="63">
        <f t="shared" si="1"/>
        <v>1103600</v>
      </c>
      <c r="H8" s="64">
        <v>687</v>
      </c>
      <c r="I8" s="63">
        <f t="shared" si="2"/>
        <v>2407935</v>
      </c>
      <c r="J8" s="65">
        <v>13</v>
      </c>
      <c r="K8" s="63">
        <f t="shared" si="3"/>
        <v>29770</v>
      </c>
      <c r="L8" s="91">
        <v>4579037</v>
      </c>
      <c r="M8" s="63">
        <f t="shared" si="4"/>
        <v>5131737.5</v>
      </c>
      <c r="N8" s="66">
        <f t="shared" si="5"/>
        <v>0.12070234418284892</v>
      </c>
      <c r="O8" s="87">
        <f t="shared" si="6"/>
        <v>5128521.4400000004</v>
      </c>
      <c r="P8" s="67">
        <f t="shared" si="7"/>
        <v>5128521.4400000004</v>
      </c>
      <c r="Q8" s="68">
        <f t="shared" si="8"/>
        <v>0.12000000000000009</v>
      </c>
    </row>
    <row r="9" spans="1:17" x14ac:dyDescent="0.25">
      <c r="A9" s="61" t="s">
        <v>28</v>
      </c>
      <c r="B9" s="62">
        <v>64.5</v>
      </c>
      <c r="C9" s="63">
        <f t="shared" si="9"/>
        <v>147705</v>
      </c>
      <c r="D9" s="62">
        <v>97.5</v>
      </c>
      <c r="E9" s="63">
        <f t="shared" si="0"/>
        <v>262762.5</v>
      </c>
      <c r="F9" s="64">
        <v>110.5</v>
      </c>
      <c r="G9" s="63">
        <f t="shared" si="1"/>
        <v>342550</v>
      </c>
      <c r="H9" s="64">
        <v>212</v>
      </c>
      <c r="I9" s="63">
        <f t="shared" si="2"/>
        <v>743060</v>
      </c>
      <c r="J9" s="65">
        <v>2</v>
      </c>
      <c r="K9" s="63">
        <f t="shared" si="3"/>
        <v>4580</v>
      </c>
      <c r="L9" s="91">
        <v>1497559</v>
      </c>
      <c r="M9" s="63">
        <f t="shared" si="4"/>
        <v>1500657.5</v>
      </c>
      <c r="N9" s="66">
        <f t="shared" si="5"/>
        <v>2.0690336741323715E-3</v>
      </c>
      <c r="O9" s="87">
        <f t="shared" si="6"/>
        <v>1500657.5</v>
      </c>
      <c r="P9" s="67">
        <f t="shared" si="7"/>
        <v>1500657.5</v>
      </c>
      <c r="Q9" s="68">
        <f t="shared" si="8"/>
        <v>2.0690336741323715E-3</v>
      </c>
    </row>
    <row r="10" spans="1:17" x14ac:dyDescent="0.25">
      <c r="A10" s="61" t="s">
        <v>29</v>
      </c>
      <c r="B10" s="62">
        <v>1454</v>
      </c>
      <c r="C10" s="63">
        <f t="shared" si="9"/>
        <v>3329660</v>
      </c>
      <c r="D10" s="62">
        <v>1421</v>
      </c>
      <c r="E10" s="63">
        <f t="shared" si="0"/>
        <v>3829595</v>
      </c>
      <c r="F10" s="64">
        <v>1629.5</v>
      </c>
      <c r="G10" s="63">
        <f t="shared" si="1"/>
        <v>5051450</v>
      </c>
      <c r="H10" s="64">
        <v>3412.5</v>
      </c>
      <c r="I10" s="63">
        <f t="shared" si="2"/>
        <v>11960812.5</v>
      </c>
      <c r="J10" s="62">
        <v>24.5</v>
      </c>
      <c r="K10" s="63">
        <f t="shared" si="3"/>
        <v>56105</v>
      </c>
      <c r="L10" s="91">
        <v>20913437</v>
      </c>
      <c r="M10" s="63">
        <f t="shared" si="4"/>
        <v>24227622.5</v>
      </c>
      <c r="N10" s="66">
        <f t="shared" si="5"/>
        <v>0.15847158456068219</v>
      </c>
      <c r="O10" s="87">
        <f t="shared" si="6"/>
        <v>23423049.440000001</v>
      </c>
      <c r="P10" s="67">
        <f t="shared" si="7"/>
        <v>23423049.440000001</v>
      </c>
      <c r="Q10" s="68">
        <f t="shared" si="8"/>
        <v>0.12000000000000006</v>
      </c>
    </row>
    <row r="11" spans="1:17" x14ac:dyDescent="0.25">
      <c r="A11" s="61" t="s">
        <v>30</v>
      </c>
      <c r="B11" s="62">
        <v>583.5</v>
      </c>
      <c r="C11" s="63">
        <f t="shared" si="9"/>
        <v>1336215</v>
      </c>
      <c r="D11" s="62">
        <v>819</v>
      </c>
      <c r="E11" s="63">
        <f t="shared" si="0"/>
        <v>2207205</v>
      </c>
      <c r="F11" s="64">
        <v>898</v>
      </c>
      <c r="G11" s="63">
        <f t="shared" si="1"/>
        <v>2783800</v>
      </c>
      <c r="H11" s="64">
        <v>1986.5</v>
      </c>
      <c r="I11" s="63">
        <f t="shared" si="2"/>
        <v>6962682.5</v>
      </c>
      <c r="J11" s="65">
        <v>13.5</v>
      </c>
      <c r="K11" s="63">
        <f t="shared" si="3"/>
        <v>30915</v>
      </c>
      <c r="L11" s="91">
        <v>10546316</v>
      </c>
      <c r="M11" s="63">
        <f t="shared" si="4"/>
        <v>13320817.5</v>
      </c>
      <c r="N11" s="66">
        <f t="shared" si="5"/>
        <v>0.26307778943851107</v>
      </c>
      <c r="O11" s="87">
        <f t="shared" si="6"/>
        <v>11811873.920000002</v>
      </c>
      <c r="P11" s="67">
        <f t="shared" si="7"/>
        <v>11811873.920000002</v>
      </c>
      <c r="Q11" s="68">
        <f t="shared" si="8"/>
        <v>0.12000000000000018</v>
      </c>
    </row>
    <row r="12" spans="1:17" x14ac:dyDescent="0.25">
      <c r="A12" s="61" t="s">
        <v>31</v>
      </c>
      <c r="B12" s="62">
        <v>587.5</v>
      </c>
      <c r="C12" s="63">
        <f t="shared" si="9"/>
        <v>1345375</v>
      </c>
      <c r="D12" s="62">
        <v>620</v>
      </c>
      <c r="E12" s="63">
        <f t="shared" si="0"/>
        <v>1670900</v>
      </c>
      <c r="F12" s="64">
        <v>677</v>
      </c>
      <c r="G12" s="63">
        <f t="shared" si="1"/>
        <v>2098700</v>
      </c>
      <c r="H12" s="64">
        <v>1562</v>
      </c>
      <c r="I12" s="63">
        <f t="shared" si="2"/>
        <v>5474810</v>
      </c>
      <c r="J12" s="65">
        <v>29.5</v>
      </c>
      <c r="K12" s="63">
        <f t="shared" si="3"/>
        <v>67555</v>
      </c>
      <c r="L12" s="91">
        <v>8941951</v>
      </c>
      <c r="M12" s="63">
        <f t="shared" si="4"/>
        <v>10657340</v>
      </c>
      <c r="N12" s="66">
        <f t="shared" si="5"/>
        <v>0.19183609930316103</v>
      </c>
      <c r="O12" s="87">
        <f t="shared" si="6"/>
        <v>10014985.120000001</v>
      </c>
      <c r="P12" s="67">
        <f t="shared" si="7"/>
        <v>10014985.120000001</v>
      </c>
      <c r="Q12" s="68">
        <f t="shared" si="8"/>
        <v>0.12000000000000012</v>
      </c>
    </row>
    <row r="13" spans="1:17" x14ac:dyDescent="0.25">
      <c r="A13" s="61" t="s">
        <v>32</v>
      </c>
      <c r="B13" s="62">
        <v>613.5</v>
      </c>
      <c r="C13" s="63">
        <f t="shared" si="9"/>
        <v>1404915</v>
      </c>
      <c r="D13" s="62">
        <v>729.5</v>
      </c>
      <c r="E13" s="63">
        <f t="shared" si="0"/>
        <v>1966002.5</v>
      </c>
      <c r="F13" s="64">
        <v>1063.5</v>
      </c>
      <c r="G13" s="63">
        <f t="shared" si="1"/>
        <v>3296850</v>
      </c>
      <c r="H13" s="64">
        <v>2048.5</v>
      </c>
      <c r="I13" s="63">
        <f t="shared" si="2"/>
        <v>7179992.5</v>
      </c>
      <c r="J13" s="65">
        <v>9.5</v>
      </c>
      <c r="K13" s="63">
        <f t="shared" si="3"/>
        <v>21755</v>
      </c>
      <c r="L13" s="91">
        <v>11286802</v>
      </c>
      <c r="M13" s="63">
        <f t="shared" si="4"/>
        <v>13869515</v>
      </c>
      <c r="N13" s="66">
        <f t="shared" si="5"/>
        <v>0.22882593315626518</v>
      </c>
      <c r="O13" s="87">
        <f t="shared" si="6"/>
        <v>12641218.240000002</v>
      </c>
      <c r="P13" s="67">
        <f t="shared" si="7"/>
        <v>12641218.240000002</v>
      </c>
      <c r="Q13" s="68">
        <f t="shared" si="8"/>
        <v>0.12000000000000019</v>
      </c>
    </row>
    <row r="14" spans="1:17" x14ac:dyDescent="0.25">
      <c r="A14" s="61" t="s">
        <v>33</v>
      </c>
      <c r="B14" s="62">
        <v>647</v>
      </c>
      <c r="C14" s="63">
        <f t="shared" si="9"/>
        <v>1481630</v>
      </c>
      <c r="D14" s="62">
        <v>527</v>
      </c>
      <c r="E14" s="63">
        <f t="shared" si="0"/>
        <v>1420265</v>
      </c>
      <c r="F14" s="64">
        <v>635.5</v>
      </c>
      <c r="G14" s="63">
        <f t="shared" si="1"/>
        <v>1970050</v>
      </c>
      <c r="H14" s="64">
        <v>1298.5</v>
      </c>
      <c r="I14" s="63">
        <f t="shared" si="2"/>
        <v>4551242.5</v>
      </c>
      <c r="J14" s="65">
        <v>3</v>
      </c>
      <c r="K14" s="63">
        <f t="shared" si="3"/>
        <v>6870</v>
      </c>
      <c r="L14" s="91">
        <v>7280013</v>
      </c>
      <c r="M14" s="63">
        <f t="shared" si="4"/>
        <v>9430057.5</v>
      </c>
      <c r="N14" s="66">
        <f t="shared" si="5"/>
        <v>0.295335255582648</v>
      </c>
      <c r="O14" s="87">
        <f t="shared" si="6"/>
        <v>8153614.5600000005</v>
      </c>
      <c r="P14" s="67">
        <f t="shared" si="7"/>
        <v>8153614.5600000005</v>
      </c>
      <c r="Q14" s="68">
        <f t="shared" si="8"/>
        <v>0.12000000000000006</v>
      </c>
    </row>
    <row r="15" spans="1:17" x14ac:dyDescent="0.25">
      <c r="A15" s="61" t="s">
        <v>34</v>
      </c>
      <c r="B15" s="62">
        <v>71.5</v>
      </c>
      <c r="C15" s="63">
        <f t="shared" si="9"/>
        <v>163735</v>
      </c>
      <c r="D15" s="62">
        <v>99</v>
      </c>
      <c r="E15" s="63">
        <f t="shared" si="0"/>
        <v>266805</v>
      </c>
      <c r="F15" s="64">
        <v>92.5</v>
      </c>
      <c r="G15" s="63">
        <f t="shared" si="1"/>
        <v>286750</v>
      </c>
      <c r="H15" s="64">
        <v>194.5</v>
      </c>
      <c r="I15" s="63">
        <f t="shared" si="2"/>
        <v>681722.5</v>
      </c>
      <c r="J15" s="65">
        <v>0.5</v>
      </c>
      <c r="K15" s="63">
        <f t="shared" si="3"/>
        <v>1145</v>
      </c>
      <c r="L15" s="91">
        <v>1310195</v>
      </c>
      <c r="M15" s="63">
        <f t="shared" si="4"/>
        <v>1400157.5</v>
      </c>
      <c r="N15" s="66">
        <f t="shared" si="5"/>
        <v>6.8663443227916454E-2</v>
      </c>
      <c r="O15" s="87">
        <f t="shared" si="6"/>
        <v>1400157.5</v>
      </c>
      <c r="P15" s="67">
        <f t="shared" si="7"/>
        <v>1400157.5</v>
      </c>
      <c r="Q15" s="68">
        <f t="shared" si="8"/>
        <v>6.8663443227916454E-2</v>
      </c>
    </row>
    <row r="16" spans="1:17" x14ac:dyDescent="0.25">
      <c r="A16" s="69"/>
      <c r="B16" s="65"/>
      <c r="C16" s="63"/>
      <c r="D16" s="62"/>
      <c r="E16" s="63"/>
      <c r="F16" s="65"/>
      <c r="G16" s="63"/>
      <c r="H16" s="65"/>
      <c r="I16" s="63"/>
      <c r="J16" s="65"/>
      <c r="K16" s="63"/>
      <c r="L16" s="92"/>
      <c r="M16" s="63"/>
      <c r="N16" s="66"/>
      <c r="O16" s="87">
        <f t="shared" si="6"/>
        <v>0</v>
      </c>
      <c r="P16" s="67"/>
      <c r="Q16" s="68"/>
    </row>
    <row r="17" spans="1:17" x14ac:dyDescent="0.25">
      <c r="A17" s="70" t="s">
        <v>45</v>
      </c>
      <c r="B17" s="65"/>
      <c r="C17" s="63"/>
      <c r="D17" s="6"/>
      <c r="E17" s="63"/>
      <c r="F17" s="65"/>
      <c r="G17" s="63"/>
      <c r="H17" s="65"/>
      <c r="I17" s="63"/>
      <c r="J17" s="65"/>
      <c r="K17" s="63"/>
      <c r="L17" s="92"/>
      <c r="M17" s="63"/>
      <c r="N17" s="66"/>
      <c r="O17" s="87">
        <f t="shared" si="6"/>
        <v>0</v>
      </c>
      <c r="P17" s="67"/>
      <c r="Q17" s="68"/>
    </row>
    <row r="18" spans="1:17" x14ac:dyDescent="0.25">
      <c r="A18" s="61" t="s">
        <v>2</v>
      </c>
      <c r="B18" s="62">
        <v>528.5</v>
      </c>
      <c r="C18" s="63">
        <f t="shared" si="9"/>
        <v>1210265</v>
      </c>
      <c r="D18" s="64">
        <v>603.5</v>
      </c>
      <c r="E18" s="63">
        <f t="shared" ref="E18:E30" si="10">D18*$C$51</f>
        <v>1626432.5</v>
      </c>
      <c r="F18" s="62">
        <v>3</v>
      </c>
      <c r="G18" s="71">
        <f t="shared" ref="G18" si="11">F18*$D$51</f>
        <v>9300</v>
      </c>
      <c r="H18" s="62"/>
      <c r="I18" s="63"/>
      <c r="J18" s="72"/>
      <c r="K18" s="63"/>
      <c r="L18" s="91">
        <v>3004148</v>
      </c>
      <c r="M18" s="63">
        <f t="shared" ref="M18:M30" si="12">SUM(K18+I18+G18+E18+C18)</f>
        <v>2845997.5</v>
      </c>
      <c r="N18" s="66">
        <f t="shared" ref="N18:N30" si="13">(M18-L18)/L18</f>
        <v>-5.2644044168263349E-2</v>
      </c>
      <c r="O18" s="87">
        <f t="shared" si="6"/>
        <v>2853940.6</v>
      </c>
      <c r="P18" s="67">
        <f t="shared" ref="P18:P30" si="14">IF(O18=FALSE,M18,O18)</f>
        <v>2853940.6</v>
      </c>
      <c r="Q18" s="68">
        <f t="shared" ref="Q18:Q30" si="15">(P18-L18)/L18</f>
        <v>-4.9999999999999968E-2</v>
      </c>
    </row>
    <row r="19" spans="1:17" x14ac:dyDescent="0.25">
      <c r="A19" s="61" t="s">
        <v>3</v>
      </c>
      <c r="B19" s="62">
        <v>58.5</v>
      </c>
      <c r="C19" s="63">
        <f t="shared" si="9"/>
        <v>133965</v>
      </c>
      <c r="D19" s="64">
        <v>145</v>
      </c>
      <c r="E19" s="63">
        <f t="shared" si="10"/>
        <v>390775</v>
      </c>
      <c r="F19" s="62"/>
      <c r="G19" s="71"/>
      <c r="H19" s="62"/>
      <c r="I19" s="63"/>
      <c r="J19" s="72"/>
      <c r="K19" s="63"/>
      <c r="L19" s="91">
        <v>476475</v>
      </c>
      <c r="M19" s="63">
        <f t="shared" si="12"/>
        <v>524740</v>
      </c>
      <c r="N19" s="66">
        <f t="shared" si="13"/>
        <v>0.10129597565454641</v>
      </c>
      <c r="O19" s="87">
        <f t="shared" si="6"/>
        <v>524740</v>
      </c>
      <c r="P19" s="67">
        <f t="shared" si="14"/>
        <v>524740</v>
      </c>
      <c r="Q19" s="68">
        <f t="shared" si="15"/>
        <v>0.10129597565454641</v>
      </c>
    </row>
    <row r="20" spans="1:17" x14ac:dyDescent="0.25">
      <c r="A20" s="61" t="s">
        <v>4</v>
      </c>
      <c r="B20" s="62">
        <v>737</v>
      </c>
      <c r="C20" s="63">
        <f t="shared" si="9"/>
        <v>1687730</v>
      </c>
      <c r="D20" s="64">
        <v>824.5</v>
      </c>
      <c r="E20" s="63">
        <f t="shared" si="10"/>
        <v>2222027.5</v>
      </c>
      <c r="F20" s="62"/>
      <c r="G20" s="71"/>
      <c r="H20" s="62"/>
      <c r="I20" s="63"/>
      <c r="J20" s="72"/>
      <c r="K20" s="63"/>
      <c r="L20" s="91">
        <v>3851839</v>
      </c>
      <c r="M20" s="63">
        <f t="shared" si="12"/>
        <v>3909757.5</v>
      </c>
      <c r="N20" s="66">
        <f t="shared" si="13"/>
        <v>1.5036583823986413E-2</v>
      </c>
      <c r="O20" s="87">
        <f t="shared" si="6"/>
        <v>3909757.5</v>
      </c>
      <c r="P20" s="67">
        <f t="shared" si="14"/>
        <v>3909757.5</v>
      </c>
      <c r="Q20" s="68">
        <f t="shared" si="15"/>
        <v>1.5036583823986413E-2</v>
      </c>
    </row>
    <row r="21" spans="1:17" x14ac:dyDescent="0.25">
      <c r="A21" s="61" t="s">
        <v>5</v>
      </c>
      <c r="B21" s="62">
        <v>1169.5</v>
      </c>
      <c r="C21" s="63">
        <f t="shared" si="9"/>
        <v>2678155</v>
      </c>
      <c r="D21" s="64">
        <v>1049</v>
      </c>
      <c r="E21" s="63">
        <f t="shared" si="10"/>
        <v>2827055</v>
      </c>
      <c r="F21" s="62"/>
      <c r="G21" s="71"/>
      <c r="H21" s="62">
        <v>1.5</v>
      </c>
      <c r="I21" s="71">
        <f>H21*$E$51</f>
        <v>5257.5</v>
      </c>
      <c r="J21" s="72">
        <v>0.5</v>
      </c>
      <c r="K21" s="63"/>
      <c r="L21" s="91">
        <v>5340274</v>
      </c>
      <c r="M21" s="63">
        <f t="shared" si="12"/>
        <v>5510467.5</v>
      </c>
      <c r="N21" s="66">
        <f t="shared" si="13"/>
        <v>3.1869806680331382E-2</v>
      </c>
      <c r="O21" s="87">
        <f t="shared" si="6"/>
        <v>5510467.5</v>
      </c>
      <c r="P21" s="67">
        <f t="shared" si="14"/>
        <v>5510467.5</v>
      </c>
      <c r="Q21" s="68">
        <f t="shared" si="15"/>
        <v>3.1869806680331382E-2</v>
      </c>
    </row>
    <row r="22" spans="1:17" x14ac:dyDescent="0.25">
      <c r="A22" s="61" t="s">
        <v>6</v>
      </c>
      <c r="B22" s="62">
        <v>1706</v>
      </c>
      <c r="C22" s="63">
        <f t="shared" si="9"/>
        <v>3906740</v>
      </c>
      <c r="D22" s="64">
        <v>1904.5</v>
      </c>
      <c r="E22" s="63">
        <f t="shared" si="10"/>
        <v>5132627.5</v>
      </c>
      <c r="F22" s="62"/>
      <c r="G22" s="71"/>
      <c r="H22" s="62"/>
      <c r="I22" s="71"/>
      <c r="J22" s="72"/>
      <c r="K22" s="63"/>
      <c r="L22" s="91">
        <v>8960400</v>
      </c>
      <c r="M22" s="63">
        <f t="shared" si="12"/>
        <v>9039367.5</v>
      </c>
      <c r="N22" s="66">
        <f t="shared" si="13"/>
        <v>8.8129436185884567E-3</v>
      </c>
      <c r="O22" s="87">
        <f t="shared" si="6"/>
        <v>9039367.5</v>
      </c>
      <c r="P22" s="67">
        <f t="shared" si="14"/>
        <v>9039367.5</v>
      </c>
      <c r="Q22" s="68">
        <f t="shared" si="15"/>
        <v>8.8129436185884567E-3</v>
      </c>
    </row>
    <row r="23" spans="1:17" x14ac:dyDescent="0.25">
      <c r="A23" s="61" t="s">
        <v>7</v>
      </c>
      <c r="B23" s="62">
        <v>94</v>
      </c>
      <c r="C23" s="63">
        <f t="shared" si="9"/>
        <v>215260</v>
      </c>
      <c r="D23" s="64">
        <v>150.5</v>
      </c>
      <c r="E23" s="63">
        <f t="shared" si="10"/>
        <v>405597.5</v>
      </c>
      <c r="F23" s="62"/>
      <c r="G23" s="71"/>
      <c r="H23" s="62"/>
      <c r="I23" s="71"/>
      <c r="J23" s="72"/>
      <c r="K23" s="63"/>
      <c r="L23" s="91">
        <v>534912</v>
      </c>
      <c r="M23" s="63">
        <f t="shared" si="12"/>
        <v>620857.5</v>
      </c>
      <c r="N23" s="66">
        <f t="shared" si="13"/>
        <v>0.16067222272074658</v>
      </c>
      <c r="O23" s="87">
        <f t="shared" si="6"/>
        <v>599101.44000000006</v>
      </c>
      <c r="P23" s="67">
        <f t="shared" si="14"/>
        <v>599101.44000000006</v>
      </c>
      <c r="Q23" s="68">
        <f t="shared" si="15"/>
        <v>0.12000000000000011</v>
      </c>
    </row>
    <row r="24" spans="1:17" x14ac:dyDescent="0.25">
      <c r="A24" s="61" t="s">
        <v>8</v>
      </c>
      <c r="B24" s="62">
        <v>76.5</v>
      </c>
      <c r="C24" s="63">
        <f t="shared" si="9"/>
        <v>175185</v>
      </c>
      <c r="D24" s="64">
        <v>151.5</v>
      </c>
      <c r="E24" s="63">
        <f t="shared" si="10"/>
        <v>408292.5</v>
      </c>
      <c r="F24" s="62"/>
      <c r="G24" s="71"/>
      <c r="H24" s="62"/>
      <c r="I24" s="71"/>
      <c r="J24" s="72"/>
      <c r="K24" s="63"/>
      <c r="L24" s="91">
        <v>657553</v>
      </c>
      <c r="M24" s="63">
        <f t="shared" si="12"/>
        <v>583477.5</v>
      </c>
      <c r="N24" s="66">
        <f t="shared" si="13"/>
        <v>-0.11265327661800646</v>
      </c>
      <c r="O24" s="87">
        <f t="shared" si="6"/>
        <v>624675.35</v>
      </c>
      <c r="P24" s="67">
        <f t="shared" si="14"/>
        <v>624675.35</v>
      </c>
      <c r="Q24" s="68">
        <f t="shared" si="15"/>
        <v>-5.0000000000000037E-2</v>
      </c>
    </row>
    <row r="25" spans="1:17" x14ac:dyDescent="0.25">
      <c r="A25" s="61" t="s">
        <v>9</v>
      </c>
      <c r="B25" s="62">
        <v>127.5</v>
      </c>
      <c r="C25" s="63">
        <f t="shared" si="9"/>
        <v>291975</v>
      </c>
      <c r="D25" s="64">
        <v>227</v>
      </c>
      <c r="E25" s="63">
        <f t="shared" si="10"/>
        <v>611765</v>
      </c>
      <c r="F25" s="62"/>
      <c r="G25" s="71"/>
      <c r="H25" s="62"/>
      <c r="I25" s="71"/>
      <c r="J25" s="72"/>
      <c r="K25" s="63"/>
      <c r="L25" s="91">
        <v>866153</v>
      </c>
      <c r="M25" s="63">
        <f t="shared" si="12"/>
        <v>903740</v>
      </c>
      <c r="N25" s="66">
        <f t="shared" si="13"/>
        <v>4.3395335466135894E-2</v>
      </c>
      <c r="O25" s="87">
        <f t="shared" si="6"/>
        <v>903740</v>
      </c>
      <c r="P25" s="67">
        <f t="shared" si="14"/>
        <v>903740</v>
      </c>
      <c r="Q25" s="68">
        <f t="shared" si="15"/>
        <v>4.3395335466135894E-2</v>
      </c>
    </row>
    <row r="26" spans="1:17" x14ac:dyDescent="0.25">
      <c r="A26" s="61" t="s">
        <v>10</v>
      </c>
      <c r="B26" s="62">
        <v>146</v>
      </c>
      <c r="C26" s="63">
        <f t="shared" si="9"/>
        <v>334340</v>
      </c>
      <c r="D26" s="64">
        <v>309.5</v>
      </c>
      <c r="E26" s="63">
        <f t="shared" si="10"/>
        <v>834102.5</v>
      </c>
      <c r="F26" s="62"/>
      <c r="G26" s="71"/>
      <c r="H26" s="62"/>
      <c r="I26" s="71"/>
      <c r="J26" s="72"/>
      <c r="K26" s="63"/>
      <c r="L26" s="91">
        <v>1026685</v>
      </c>
      <c r="M26" s="63">
        <f t="shared" si="12"/>
        <v>1168442.5</v>
      </c>
      <c r="N26" s="66">
        <f t="shared" si="13"/>
        <v>0.13807302142331873</v>
      </c>
      <c r="O26" s="87">
        <f t="shared" si="6"/>
        <v>1149887.2000000002</v>
      </c>
      <c r="P26" s="67">
        <f t="shared" si="14"/>
        <v>1149887.2000000002</v>
      </c>
      <c r="Q26" s="68">
        <f t="shared" si="15"/>
        <v>0.12000000000000018</v>
      </c>
    </row>
    <row r="27" spans="1:17" x14ac:dyDescent="0.25">
      <c r="A27" s="61" t="s">
        <v>11</v>
      </c>
      <c r="B27" s="62">
        <v>1970</v>
      </c>
      <c r="C27" s="63">
        <f t="shared" si="9"/>
        <v>4511300</v>
      </c>
      <c r="D27" s="64">
        <v>2652.5</v>
      </c>
      <c r="E27" s="63">
        <f t="shared" si="10"/>
        <v>7148487.5</v>
      </c>
      <c r="F27" s="62">
        <v>2</v>
      </c>
      <c r="G27" s="71">
        <f>F27*$D$51</f>
        <v>6200</v>
      </c>
      <c r="H27" s="62">
        <v>2</v>
      </c>
      <c r="I27" s="71"/>
      <c r="J27" s="72">
        <v>1</v>
      </c>
      <c r="K27" s="63"/>
      <c r="L27" s="91">
        <v>9993071</v>
      </c>
      <c r="M27" s="63">
        <f t="shared" si="12"/>
        <v>11665987.5</v>
      </c>
      <c r="N27" s="66">
        <f t="shared" si="13"/>
        <v>0.16740764675843892</v>
      </c>
      <c r="O27" s="87">
        <f t="shared" si="6"/>
        <v>11192239.520000001</v>
      </c>
      <c r="P27" s="67">
        <f t="shared" si="14"/>
        <v>11192239.520000001</v>
      </c>
      <c r="Q27" s="68">
        <f t="shared" si="15"/>
        <v>0.12000000000000015</v>
      </c>
    </row>
    <row r="28" spans="1:17" x14ac:dyDescent="0.25">
      <c r="A28" s="61" t="s">
        <v>12</v>
      </c>
      <c r="B28" s="62">
        <v>869.5</v>
      </c>
      <c r="C28" s="63">
        <f t="shared" si="9"/>
        <v>1991155</v>
      </c>
      <c r="D28" s="64">
        <v>1000.5</v>
      </c>
      <c r="E28" s="63">
        <f t="shared" si="10"/>
        <v>2696347.5</v>
      </c>
      <c r="F28" s="62"/>
      <c r="G28" s="71"/>
      <c r="H28" s="62">
        <v>7.5</v>
      </c>
      <c r="I28" s="71">
        <f t="shared" ref="I28:I29" si="16">H28*$E$51</f>
        <v>26287.5</v>
      </c>
      <c r="J28" s="72">
        <v>1</v>
      </c>
      <c r="K28" s="63"/>
      <c r="L28" s="91">
        <v>4756617</v>
      </c>
      <c r="M28" s="63">
        <f t="shared" si="12"/>
        <v>4713790</v>
      </c>
      <c r="N28" s="66">
        <f t="shared" si="13"/>
        <v>-9.0036679429939381E-3</v>
      </c>
      <c r="O28" s="87">
        <f t="shared" si="6"/>
        <v>4713790</v>
      </c>
      <c r="P28" s="67">
        <f t="shared" si="14"/>
        <v>4713790</v>
      </c>
      <c r="Q28" s="68">
        <f t="shared" si="15"/>
        <v>-9.0036679429939381E-3</v>
      </c>
    </row>
    <row r="29" spans="1:17" x14ac:dyDescent="0.25">
      <c r="A29" s="61" t="s">
        <v>13</v>
      </c>
      <c r="B29" s="62">
        <v>692.5</v>
      </c>
      <c r="C29" s="63">
        <f t="shared" si="9"/>
        <v>1585825</v>
      </c>
      <c r="D29" s="64">
        <v>871.5</v>
      </c>
      <c r="E29" s="63">
        <f t="shared" si="10"/>
        <v>2348692.5</v>
      </c>
      <c r="F29" s="62">
        <v>1</v>
      </c>
      <c r="G29" s="71">
        <f t="shared" ref="G29" si="17">F29*$D$51</f>
        <v>3100</v>
      </c>
      <c r="H29" s="62">
        <v>2</v>
      </c>
      <c r="I29" s="71">
        <f t="shared" si="16"/>
        <v>7010</v>
      </c>
      <c r="J29" s="72"/>
      <c r="K29" s="63"/>
      <c r="L29" s="91">
        <v>3816273</v>
      </c>
      <c r="M29" s="63">
        <f t="shared" si="12"/>
        <v>3944627.5</v>
      </c>
      <c r="N29" s="66">
        <f t="shared" si="13"/>
        <v>3.363346909406114E-2</v>
      </c>
      <c r="O29" s="87">
        <f t="shared" si="6"/>
        <v>3944627.5</v>
      </c>
      <c r="P29" s="67">
        <f t="shared" si="14"/>
        <v>3944627.5</v>
      </c>
      <c r="Q29" s="68">
        <f t="shared" si="15"/>
        <v>3.363346909406114E-2</v>
      </c>
    </row>
    <row r="30" spans="1:17" x14ac:dyDescent="0.25">
      <c r="A30" s="61" t="s">
        <v>14</v>
      </c>
      <c r="B30" s="62">
        <v>135.5</v>
      </c>
      <c r="C30" s="63">
        <f t="shared" si="9"/>
        <v>310295</v>
      </c>
      <c r="D30" s="64">
        <v>375</v>
      </c>
      <c r="E30" s="63">
        <f t="shared" si="10"/>
        <v>1010625</v>
      </c>
      <c r="F30" s="62"/>
      <c r="G30" s="63"/>
      <c r="H30" s="62"/>
      <c r="I30" s="63"/>
      <c r="J30" s="72">
        <v>2.5</v>
      </c>
      <c r="K30" s="63"/>
      <c r="L30" s="91">
        <v>1172874</v>
      </c>
      <c r="M30" s="63">
        <f t="shared" si="12"/>
        <v>1320920</v>
      </c>
      <c r="N30" s="66">
        <f t="shared" si="13"/>
        <v>0.12622498239367572</v>
      </c>
      <c r="O30" s="87">
        <f t="shared" si="6"/>
        <v>1313618.8800000001</v>
      </c>
      <c r="P30" s="67">
        <f t="shared" si="14"/>
        <v>1313618.8800000001</v>
      </c>
      <c r="Q30" s="68">
        <f t="shared" si="15"/>
        <v>0.12000000000000011</v>
      </c>
    </row>
    <row r="31" spans="1:17" x14ac:dyDescent="0.25">
      <c r="A31" s="69"/>
      <c r="B31" s="65"/>
      <c r="C31" s="63"/>
      <c r="D31" s="62"/>
      <c r="E31" s="63"/>
      <c r="F31" s="65"/>
      <c r="G31" s="63"/>
      <c r="H31" s="65"/>
      <c r="I31" s="63"/>
      <c r="J31" s="65"/>
      <c r="K31" s="63"/>
      <c r="L31" s="92"/>
      <c r="M31" s="63"/>
      <c r="N31" s="66"/>
      <c r="O31" s="87">
        <f t="shared" si="6"/>
        <v>0</v>
      </c>
      <c r="P31" s="67"/>
      <c r="Q31" s="68"/>
    </row>
    <row r="32" spans="1:17" x14ac:dyDescent="0.25">
      <c r="A32" s="70" t="s">
        <v>38</v>
      </c>
      <c r="B32" s="65"/>
      <c r="C32" s="63"/>
      <c r="D32" s="62"/>
      <c r="E32" s="63"/>
      <c r="F32" s="65"/>
      <c r="G32" s="63"/>
      <c r="H32" s="65"/>
      <c r="I32" s="63"/>
      <c r="J32" s="65"/>
      <c r="K32" s="63"/>
      <c r="L32" s="92"/>
      <c r="M32" s="63"/>
      <c r="N32" s="66"/>
      <c r="O32" s="87">
        <f t="shared" si="6"/>
        <v>0</v>
      </c>
      <c r="P32" s="67"/>
      <c r="Q32" s="68"/>
    </row>
    <row r="33" spans="1:17" x14ac:dyDescent="0.25">
      <c r="A33" s="61" t="s">
        <v>1</v>
      </c>
      <c r="B33" s="62">
        <v>899.5</v>
      </c>
      <c r="C33" s="63">
        <f>B33*$B$51</f>
        <v>2059855</v>
      </c>
      <c r="D33" s="64">
        <v>1007</v>
      </c>
      <c r="E33" s="63">
        <f>D33*$C$51</f>
        <v>2713865</v>
      </c>
      <c r="F33" s="65"/>
      <c r="G33" s="63"/>
      <c r="H33" s="65"/>
      <c r="I33" s="63"/>
      <c r="J33" s="65"/>
      <c r="K33" s="63"/>
      <c r="L33" s="91">
        <v>3621278</v>
      </c>
      <c r="M33" s="63">
        <f>SUM(K33+I33+G33+E33+C33)</f>
        <v>4773720</v>
      </c>
      <c r="N33" s="66">
        <f>(M33-L33)/L33</f>
        <v>0.31824179198614411</v>
      </c>
      <c r="O33" s="87">
        <f t="shared" si="6"/>
        <v>4055831.3600000003</v>
      </c>
      <c r="P33" s="67">
        <f>IF(O33=FALSE,M33,O33)</f>
        <v>4055831.3600000003</v>
      </c>
      <c r="Q33" s="68">
        <f>(P33-L33)/L33</f>
        <v>0.12000000000000009</v>
      </c>
    </row>
    <row r="34" spans="1:17" x14ac:dyDescent="0.25">
      <c r="A34" s="61" t="s">
        <v>24</v>
      </c>
      <c r="B34" s="62">
        <v>632</v>
      </c>
      <c r="C34" s="63">
        <f>B34*$B$51</f>
        <v>1447280</v>
      </c>
      <c r="D34" s="62">
        <v>404</v>
      </c>
      <c r="E34" s="63">
        <f>D34*$C$51</f>
        <v>1088780</v>
      </c>
      <c r="F34" s="65">
        <v>25</v>
      </c>
      <c r="G34" s="63">
        <f>F34*$D$51</f>
        <v>77500</v>
      </c>
      <c r="H34" s="65">
        <v>0</v>
      </c>
      <c r="I34" s="63">
        <f>H34*$E$51</f>
        <v>0</v>
      </c>
      <c r="J34" s="65"/>
      <c r="K34" s="63">
        <f>J34*$B$51</f>
        <v>0</v>
      </c>
      <c r="L34" s="91">
        <v>2203668</v>
      </c>
      <c r="M34" s="63">
        <f>SUM(K34+I34+G34+E34+C34)</f>
        <v>2613560</v>
      </c>
      <c r="N34" s="66">
        <f>(M34-L34)/L34</f>
        <v>0.18600442534900902</v>
      </c>
      <c r="O34" s="87">
        <f t="shared" si="6"/>
        <v>2468108.16</v>
      </c>
      <c r="P34" s="67">
        <f>IF(O34=FALSE,M34,O34)</f>
        <v>2468108.16</v>
      </c>
      <c r="Q34" s="68">
        <f>(P34-L34)/L34</f>
        <v>0.12000000000000006</v>
      </c>
    </row>
    <row r="35" spans="1:17" x14ac:dyDescent="0.25">
      <c r="A35" s="69"/>
      <c r="B35" s="65"/>
      <c r="C35" s="63"/>
      <c r="D35" s="62"/>
      <c r="E35" s="63"/>
      <c r="F35" s="65"/>
      <c r="G35" s="63"/>
      <c r="H35" s="65"/>
      <c r="I35" s="63"/>
      <c r="J35" s="65"/>
      <c r="K35" s="63"/>
      <c r="L35" s="92"/>
      <c r="M35" s="63"/>
      <c r="N35" s="66"/>
      <c r="O35" s="87">
        <f t="shared" si="6"/>
        <v>0</v>
      </c>
      <c r="P35" s="67"/>
      <c r="Q35" s="68"/>
    </row>
    <row r="36" spans="1:17" x14ac:dyDescent="0.25">
      <c r="A36" s="70" t="s">
        <v>46</v>
      </c>
      <c r="B36" s="65"/>
      <c r="C36" s="63"/>
      <c r="D36" s="6"/>
      <c r="E36" s="63"/>
      <c r="F36" s="65"/>
      <c r="G36" s="63"/>
      <c r="H36" s="65"/>
      <c r="I36" s="63"/>
      <c r="J36" s="65"/>
      <c r="K36" s="63"/>
      <c r="L36" s="92"/>
      <c r="M36" s="63"/>
      <c r="N36" s="66"/>
      <c r="O36" s="87">
        <f t="shared" si="6"/>
        <v>0</v>
      </c>
      <c r="P36" s="67"/>
      <c r="Q36" s="68"/>
    </row>
    <row r="37" spans="1:17" x14ac:dyDescent="0.25">
      <c r="A37" s="61" t="s">
        <v>18</v>
      </c>
      <c r="B37" s="62">
        <v>186.5</v>
      </c>
      <c r="C37" s="63">
        <f>B37*$B$51</f>
        <v>427085</v>
      </c>
      <c r="D37" s="64">
        <v>234</v>
      </c>
      <c r="E37" s="63">
        <f>D37*$C$51</f>
        <v>630630</v>
      </c>
      <c r="F37" s="65">
        <v>206</v>
      </c>
      <c r="G37" s="63">
        <f>F37*$D$51</f>
        <v>638600</v>
      </c>
      <c r="H37" s="64">
        <v>274</v>
      </c>
      <c r="I37" s="63">
        <f>H37*$E$51</f>
        <v>960370</v>
      </c>
      <c r="J37" s="65">
        <v>1.5</v>
      </c>
      <c r="K37" s="63">
        <f>J37*$B$51</f>
        <v>3435</v>
      </c>
      <c r="L37" s="91">
        <v>2167621</v>
      </c>
      <c r="M37" s="63">
        <f>SUM(K37+I37+G37+E37+C37)</f>
        <v>2660120</v>
      </c>
      <c r="N37" s="66">
        <f>(M37-L37)/L37</f>
        <v>0.22720715475629735</v>
      </c>
      <c r="O37" s="87">
        <f t="shared" si="6"/>
        <v>2427735.52</v>
      </c>
      <c r="P37" s="67">
        <f>IF(O37=FALSE,M37,O37)</f>
        <v>2427735.52</v>
      </c>
      <c r="Q37" s="68">
        <f>(P37-L37)/L37</f>
        <v>0.12000000000000001</v>
      </c>
    </row>
    <row r="38" spans="1:17" x14ac:dyDescent="0.25">
      <c r="A38" s="61" t="s">
        <v>16</v>
      </c>
      <c r="B38" s="62">
        <v>12</v>
      </c>
      <c r="C38" s="63">
        <f>B38*$B$51</f>
        <v>27480</v>
      </c>
      <c r="D38" s="64">
        <v>13.5</v>
      </c>
      <c r="E38" s="63">
        <f>D38*$C$51</f>
        <v>36382.5</v>
      </c>
      <c r="F38" s="65">
        <v>14</v>
      </c>
      <c r="G38" s="63">
        <f>F38*$D$51</f>
        <v>43400</v>
      </c>
      <c r="H38" s="64">
        <v>18.5</v>
      </c>
      <c r="I38" s="63">
        <f>H38*$E$51</f>
        <v>64842.5</v>
      </c>
      <c r="J38" s="65"/>
      <c r="K38" s="63"/>
      <c r="L38" s="91">
        <v>158879</v>
      </c>
      <c r="M38" s="63">
        <f>SUM(K38+I38+G38+E38+C38)</f>
        <v>172105</v>
      </c>
      <c r="N38" s="66">
        <f>(M38-L38)/L38</f>
        <v>8.3245740469162069E-2</v>
      </c>
      <c r="O38" s="87">
        <f t="shared" si="6"/>
        <v>172105</v>
      </c>
      <c r="P38" s="67">
        <f>IF(O38=FALSE,M38,O38)</f>
        <v>172105</v>
      </c>
      <c r="Q38" s="68">
        <f>(P38-L38)/L38</f>
        <v>8.3245740469162069E-2</v>
      </c>
    </row>
    <row r="39" spans="1:17" x14ac:dyDescent="0.25">
      <c r="A39" s="61" t="s">
        <v>17</v>
      </c>
      <c r="B39" s="62">
        <v>30</v>
      </c>
      <c r="C39" s="63">
        <f>B39*$B$51</f>
        <v>68700</v>
      </c>
      <c r="D39" s="64">
        <v>23</v>
      </c>
      <c r="E39" s="63">
        <f>D39*$C$51</f>
        <v>61985</v>
      </c>
      <c r="F39" s="65">
        <v>25.5</v>
      </c>
      <c r="G39" s="63">
        <f>F39*$D$51</f>
        <v>79050</v>
      </c>
      <c r="H39" s="64">
        <v>26</v>
      </c>
      <c r="I39" s="63">
        <f>H39*$E$51</f>
        <v>91130</v>
      </c>
      <c r="J39" s="65"/>
      <c r="K39" s="63"/>
      <c r="L39" s="91">
        <v>126850</v>
      </c>
      <c r="M39" s="63">
        <f>SUM(K39+I39+G39+E39+C39)</f>
        <v>300865</v>
      </c>
      <c r="N39" s="66">
        <f>(M39-L39)/L39</f>
        <v>1.3718171068190776</v>
      </c>
      <c r="O39" s="87">
        <f t="shared" si="6"/>
        <v>142072</v>
      </c>
      <c r="P39" s="67">
        <f>IF(O39=FALSE,M39,O39)</f>
        <v>142072</v>
      </c>
      <c r="Q39" s="68">
        <f>(P39-L39)/L39</f>
        <v>0.12</v>
      </c>
    </row>
    <row r="40" spans="1:17" x14ac:dyDescent="0.25">
      <c r="A40" s="61" t="s">
        <v>19</v>
      </c>
      <c r="B40" s="62">
        <v>147.5</v>
      </c>
      <c r="C40" s="63">
        <f>B40*$B$51</f>
        <v>337775</v>
      </c>
      <c r="D40" s="64">
        <v>125.5</v>
      </c>
      <c r="E40" s="63">
        <f>D40*$C$51</f>
        <v>338222.5</v>
      </c>
      <c r="F40" s="65">
        <v>187.5</v>
      </c>
      <c r="G40" s="63">
        <f>F40*$D$51</f>
        <v>581250</v>
      </c>
      <c r="H40" s="64">
        <v>313</v>
      </c>
      <c r="I40" s="63">
        <f>H40*$E$51</f>
        <v>1097065</v>
      </c>
      <c r="J40" s="65">
        <v>6.5</v>
      </c>
      <c r="K40" s="63">
        <f>J40*$B$51</f>
        <v>14885</v>
      </c>
      <c r="L40" s="91">
        <v>2410209</v>
      </c>
      <c r="M40" s="63">
        <f>SUM(K40+I40+G40+E40+C40)</f>
        <v>2369197.5</v>
      </c>
      <c r="N40" s="66">
        <f>(M40-L40)/L40</f>
        <v>-1.70157442777784E-2</v>
      </c>
      <c r="O40" s="87">
        <f t="shared" si="6"/>
        <v>2369197.5</v>
      </c>
      <c r="P40" s="67">
        <f>IF(O40=FALSE,M40,O40)</f>
        <v>2369197.5</v>
      </c>
      <c r="Q40" s="68">
        <f>(P40-L40)/L40</f>
        <v>-1.70157442777784E-2</v>
      </c>
    </row>
    <row r="41" spans="1:17" x14ac:dyDescent="0.25">
      <c r="A41" s="61" t="s">
        <v>20</v>
      </c>
      <c r="B41" s="62">
        <v>48</v>
      </c>
      <c r="C41" s="63">
        <f>B41*$B$51</f>
        <v>109920</v>
      </c>
      <c r="D41" s="64">
        <v>135</v>
      </c>
      <c r="E41" s="63">
        <f>D41*$C$51</f>
        <v>363825</v>
      </c>
      <c r="F41" s="65">
        <v>126.5</v>
      </c>
      <c r="G41" s="63">
        <f>F41*$D$51</f>
        <v>392150</v>
      </c>
      <c r="H41" s="64">
        <v>250</v>
      </c>
      <c r="I41" s="63">
        <f>H41*$E$51</f>
        <v>876250</v>
      </c>
      <c r="J41" s="65">
        <v>0.5</v>
      </c>
      <c r="K41" s="63">
        <f>J41*$B$51</f>
        <v>1145</v>
      </c>
      <c r="L41" s="91">
        <v>1460713</v>
      </c>
      <c r="M41" s="63">
        <f>SUM(K41+I41+G41+E41+C41)</f>
        <v>1743290</v>
      </c>
      <c r="N41" s="66">
        <f>(M41-L41)/L41</f>
        <v>0.19345141721885134</v>
      </c>
      <c r="O41" s="87">
        <f t="shared" si="6"/>
        <v>1635998.56</v>
      </c>
      <c r="P41" s="67">
        <f>IF(O41=FALSE,M41,O41)</f>
        <v>1635998.56</v>
      </c>
      <c r="Q41" s="68">
        <f>(P41-L41)/L41</f>
        <v>0.12000000000000004</v>
      </c>
    </row>
    <row r="42" spans="1:17" x14ac:dyDescent="0.25">
      <c r="A42" s="69"/>
      <c r="B42" s="65"/>
      <c r="C42" s="63"/>
      <c r="D42" s="62"/>
      <c r="E42" s="63"/>
      <c r="F42" s="65"/>
      <c r="G42" s="63"/>
      <c r="H42" s="62"/>
      <c r="I42" s="63"/>
      <c r="J42" s="65"/>
      <c r="K42" s="63"/>
      <c r="L42" s="92"/>
      <c r="M42" s="63"/>
      <c r="N42" s="66"/>
      <c r="O42" s="87">
        <f t="shared" si="6"/>
        <v>0</v>
      </c>
      <c r="P42" s="67"/>
      <c r="Q42" s="68"/>
    </row>
    <row r="43" spans="1:17" x14ac:dyDescent="0.25">
      <c r="A43" s="70" t="s">
        <v>47</v>
      </c>
      <c r="B43" s="65"/>
      <c r="C43" s="63"/>
      <c r="D43" s="62"/>
      <c r="E43" s="63"/>
      <c r="F43" s="65"/>
      <c r="G43" s="63"/>
      <c r="H43" s="62"/>
      <c r="I43" s="63"/>
      <c r="J43" s="65"/>
      <c r="K43" s="63"/>
      <c r="L43" s="92"/>
      <c r="M43" s="63"/>
      <c r="N43" s="66"/>
      <c r="O43" s="87">
        <f t="shared" si="6"/>
        <v>0</v>
      </c>
      <c r="P43" s="67"/>
      <c r="Q43" s="68"/>
    </row>
    <row r="44" spans="1:17" x14ac:dyDescent="0.25">
      <c r="A44" s="61" t="s">
        <v>37</v>
      </c>
      <c r="B44" s="62">
        <v>32.5</v>
      </c>
      <c r="C44" s="63">
        <f>B44*$B$51</f>
        <v>74425</v>
      </c>
      <c r="D44" s="64">
        <v>24</v>
      </c>
      <c r="E44" s="63">
        <f t="shared" ref="E44:E46" si="18">D44*$C$51</f>
        <v>64680</v>
      </c>
      <c r="F44" s="65"/>
      <c r="G44" s="63"/>
      <c r="H44" s="62"/>
      <c r="I44" s="63"/>
      <c r="J44" s="65"/>
      <c r="K44" s="63"/>
      <c r="L44" s="91">
        <v>151048</v>
      </c>
      <c r="M44" s="63">
        <f>SUM(K44+I44+G44+E44+C44)</f>
        <v>139105</v>
      </c>
      <c r="N44" s="66">
        <f>(M44-L44)/L44</f>
        <v>-7.9067581166251788E-2</v>
      </c>
      <c r="O44" s="87">
        <f t="shared" si="6"/>
        <v>143495.6</v>
      </c>
      <c r="P44" s="67">
        <f>IF(O44=FALSE,M44,O44)</f>
        <v>143495.6</v>
      </c>
      <c r="Q44" s="68">
        <f>(P44-L44)/L44</f>
        <v>-4.9999999999999961E-2</v>
      </c>
    </row>
    <row r="45" spans="1:17" x14ac:dyDescent="0.25">
      <c r="A45" s="61" t="s">
        <v>35</v>
      </c>
      <c r="B45" s="62">
        <v>490</v>
      </c>
      <c r="C45" s="63">
        <f>B45*$B$51</f>
        <v>1122100</v>
      </c>
      <c r="D45" s="64"/>
      <c r="E45" s="63">
        <f t="shared" si="18"/>
        <v>0</v>
      </c>
      <c r="F45" s="65"/>
      <c r="G45" s="63"/>
      <c r="H45" s="62"/>
      <c r="I45" s="63"/>
      <c r="J45" s="65"/>
      <c r="K45" s="63"/>
      <c r="L45" s="91">
        <v>717977</v>
      </c>
      <c r="M45" s="63">
        <f>SUM(K45+I45+G45+E45+C45)</f>
        <v>1122100</v>
      </c>
      <c r="N45" s="66">
        <f>(M45-L45)/L45</f>
        <v>0.5628634343439971</v>
      </c>
      <c r="O45" s="87">
        <f t="shared" si="6"/>
        <v>804134.24000000011</v>
      </c>
      <c r="P45" s="67">
        <f>IF(O45=FALSE,M45,O45)</f>
        <v>804134.24000000011</v>
      </c>
      <c r="Q45" s="68">
        <f>(P45-L45)/L45</f>
        <v>0.12000000000000015</v>
      </c>
    </row>
    <row r="46" spans="1:17" x14ac:dyDescent="0.25">
      <c r="A46" s="61" t="s">
        <v>36</v>
      </c>
      <c r="B46" s="62">
        <v>110</v>
      </c>
      <c r="C46" s="63">
        <f>B46*$B$51</f>
        <v>251900</v>
      </c>
      <c r="D46" s="73">
        <v>93.5</v>
      </c>
      <c r="E46" s="74">
        <f t="shared" si="18"/>
        <v>251982.5</v>
      </c>
      <c r="F46" s="75"/>
      <c r="G46" s="67"/>
      <c r="H46" s="73">
        <v>2</v>
      </c>
      <c r="I46" s="67">
        <f t="shared" ref="I46" si="19">H46*$E$51</f>
        <v>7010</v>
      </c>
      <c r="J46" s="65"/>
      <c r="K46" s="63"/>
      <c r="L46" s="91">
        <v>542250</v>
      </c>
      <c r="M46" s="63">
        <f>SUM(K46+I46+G46+E46+C46)</f>
        <v>510892.5</v>
      </c>
      <c r="N46" s="66">
        <f>(M46-L46)/L46</f>
        <v>-5.7828492392807747E-2</v>
      </c>
      <c r="O46" s="87">
        <f t="shared" si="6"/>
        <v>515137.5</v>
      </c>
      <c r="P46" s="67">
        <f>IF(O46=FALSE,M46,O46)</f>
        <v>515137.5</v>
      </c>
      <c r="Q46" s="68">
        <f>(P46-L46)/L46</f>
        <v>-0.05</v>
      </c>
    </row>
    <row r="47" spans="1:17" ht="18.75" x14ac:dyDescent="0.3">
      <c r="A47" s="76" t="s">
        <v>48</v>
      </c>
      <c r="B47" s="77">
        <f>SUM(B4:B46)</f>
        <v>17289.5</v>
      </c>
      <c r="C47" s="78">
        <f>SUM(C4:C46)</f>
        <v>39592955</v>
      </c>
      <c r="D47" s="77">
        <f>SUM(D4:D46)</f>
        <v>19070</v>
      </c>
      <c r="E47" s="78">
        <f>SUM(E4:E46)</f>
        <v>51393650</v>
      </c>
      <c r="F47" s="79">
        <f>SUM(F4:F41)</f>
        <v>8126.5</v>
      </c>
      <c r="G47" s="78">
        <f>SUM(G4:G41)</f>
        <v>25192150</v>
      </c>
      <c r="H47" s="77">
        <f>SUM(H4:H41)</f>
        <v>15635.5</v>
      </c>
      <c r="I47" s="78">
        <f>SUM(I4:I46)</f>
        <v>54802427.5</v>
      </c>
      <c r="J47" s="79">
        <f>SUM(J4:J41)</f>
        <v>160</v>
      </c>
      <c r="K47" s="78">
        <f>SUM(K4:K46)</f>
        <v>354950</v>
      </c>
      <c r="L47" s="93">
        <f>SUM(L4:L46)</f>
        <v>149735303</v>
      </c>
      <c r="M47" s="78">
        <f>SUM(K47+I47+G47+E47+C47)</f>
        <v>171336132.5</v>
      </c>
      <c r="N47" s="80">
        <f>(M47-L47)/L47</f>
        <v>0.14426009810124737</v>
      </c>
      <c r="O47" s="88">
        <f>SUM(O4:O46)</f>
        <v>163157413.37</v>
      </c>
      <c r="P47" s="81">
        <f>SUM(P4:P46)</f>
        <v>163157413.37</v>
      </c>
      <c r="Q47" s="82">
        <f>(P47-L47)/L47</f>
        <v>8.9638916815762582E-2</v>
      </c>
    </row>
    <row r="48" spans="1:17" x14ac:dyDescent="0.25">
      <c r="A48" s="11"/>
      <c r="M48" s="13"/>
    </row>
    <row r="49" spans="1:16" x14ac:dyDescent="0.25">
      <c r="L49" s="15"/>
      <c r="P49" s="8">
        <v>177303919.68000001</v>
      </c>
    </row>
    <row r="50" spans="1:16" x14ac:dyDescent="0.25">
      <c r="A50" s="11" t="s">
        <v>55</v>
      </c>
      <c r="B50" s="9" t="s">
        <v>49</v>
      </c>
      <c r="C50" s="9" t="s">
        <v>50</v>
      </c>
      <c r="D50" s="9" t="s">
        <v>51</v>
      </c>
      <c r="E50" s="9" t="s">
        <v>52</v>
      </c>
      <c r="J50" s="11"/>
      <c r="K50" s="11"/>
      <c r="N50" s="12"/>
      <c r="O50" s="9"/>
      <c r="P50" s="10" t="s">
        <v>59</v>
      </c>
    </row>
    <row r="51" spans="1:16" x14ac:dyDescent="0.25">
      <c r="A51" s="9">
        <v>405</v>
      </c>
      <c r="B51" s="12">
        <v>2290</v>
      </c>
      <c r="C51" s="12">
        <f>B51+A51</f>
        <v>2695</v>
      </c>
      <c r="D51" s="12">
        <f>C51+A51</f>
        <v>3100</v>
      </c>
      <c r="E51" s="12">
        <f>D51+A51</f>
        <v>3505</v>
      </c>
      <c r="L51" s="12"/>
      <c r="M51" s="12"/>
      <c r="N51" s="12"/>
    </row>
    <row r="52" spans="1:16" x14ac:dyDescent="0.25">
      <c r="N52" s="12"/>
      <c r="O52" s="9"/>
    </row>
    <row r="53" spans="1:16" x14ac:dyDescent="0.25">
      <c r="N53" s="12"/>
      <c r="O53" s="9"/>
    </row>
    <row r="54" spans="1:16" x14ac:dyDescent="0.25">
      <c r="N54" s="12"/>
      <c r="O54" s="9"/>
    </row>
    <row r="55" spans="1:16" x14ac:dyDescent="0.25">
      <c r="A55" s="9" t="s">
        <v>56</v>
      </c>
      <c r="B55" s="12">
        <f>P49-P47</f>
        <v>14146506.310000002</v>
      </c>
      <c r="L55" s="12"/>
      <c r="N55" s="12"/>
      <c r="O55" s="9"/>
    </row>
    <row r="56" spans="1:16" x14ac:dyDescent="0.25">
      <c r="B56" s="14"/>
      <c r="L56" s="14"/>
      <c r="N56" s="12"/>
      <c r="O56" s="9"/>
    </row>
    <row r="57" spans="1:16" x14ac:dyDescent="0.25">
      <c r="N57" s="12"/>
      <c r="O57" s="9"/>
    </row>
    <row r="58" spans="1:16" x14ac:dyDescent="0.25">
      <c r="A58" s="9" t="s">
        <v>53</v>
      </c>
      <c r="N58" s="12"/>
      <c r="O58" s="9"/>
    </row>
    <row r="59" spans="1:16" x14ac:dyDescent="0.25">
      <c r="B59" s="9" t="s">
        <v>49</v>
      </c>
      <c r="C59" s="9" t="s">
        <v>50</v>
      </c>
      <c r="D59" s="9" t="s">
        <v>51</v>
      </c>
      <c r="E59" s="9" t="s">
        <v>52</v>
      </c>
      <c r="N59" s="12"/>
      <c r="O59" s="9"/>
    </row>
    <row r="60" spans="1:16" x14ac:dyDescent="0.25">
      <c r="A60" s="9">
        <v>399</v>
      </c>
      <c r="B60" s="12">
        <v>2250</v>
      </c>
      <c r="C60" s="12">
        <v>2649</v>
      </c>
      <c r="D60" s="12">
        <v>3048</v>
      </c>
      <c r="E60" s="12">
        <v>3447</v>
      </c>
      <c r="L60" s="12"/>
      <c r="M60" s="12"/>
      <c r="N60" s="12"/>
    </row>
    <row r="61" spans="1:16" x14ac:dyDescent="0.25">
      <c r="N61" s="12"/>
      <c r="O61" s="9"/>
    </row>
  </sheetData>
  <pageMargins left="0.25" right="0.25" top="0.75" bottom="0.7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9CDA-89DA-4687-AE5A-0DC366620370}">
  <dimension ref="A1:Q61"/>
  <sheetViews>
    <sheetView zoomScale="80" zoomScaleNormal="80" zoomScaleSheetLayoutView="70" workbookViewId="0">
      <selection activeCell="G17" sqref="G17"/>
    </sheetView>
  </sheetViews>
  <sheetFormatPr defaultRowHeight="15" x14ac:dyDescent="0.25"/>
  <cols>
    <col min="1" max="1" width="39.42578125" style="9" customWidth="1"/>
    <col min="2" max="2" width="14.7109375" style="9" customWidth="1"/>
    <col min="3" max="3" width="15.7109375" style="9" customWidth="1"/>
    <col min="4" max="4" width="11.5703125" style="9" customWidth="1"/>
    <col min="5" max="5" width="15.5703125" style="9" customWidth="1"/>
    <col min="6" max="6" width="9.140625" style="9" customWidth="1"/>
    <col min="7" max="7" width="15.7109375" style="9" customWidth="1"/>
    <col min="8" max="8" width="9.140625" style="9" customWidth="1"/>
    <col min="9" max="9" width="15.7109375" style="9" customWidth="1"/>
    <col min="10" max="10" width="16" style="9" customWidth="1"/>
    <col min="11" max="11" width="16.42578125" style="9" customWidth="1"/>
    <col min="12" max="13" width="21" style="9" customWidth="1"/>
    <col min="14" max="14" width="12.140625" style="9" customWidth="1"/>
    <col min="15" max="15" width="20.85546875" style="12" customWidth="1"/>
    <col min="16" max="16" width="21" style="10" hidden="1" customWidth="1"/>
    <col min="17" max="17" width="13.5703125" style="9" customWidth="1"/>
    <col min="18" max="16384" width="9.140625" style="9"/>
  </cols>
  <sheetData>
    <row r="1" spans="1:17" x14ac:dyDescent="0.25">
      <c r="A1" s="51" t="s">
        <v>79</v>
      </c>
    </row>
    <row r="2" spans="1:17" ht="60" x14ac:dyDescent="0.25">
      <c r="A2" s="52"/>
      <c r="B2" s="53" t="s">
        <v>39</v>
      </c>
      <c r="C2" s="53"/>
      <c r="D2" s="53" t="s">
        <v>40</v>
      </c>
      <c r="E2" s="53"/>
      <c r="F2" s="53" t="s">
        <v>41</v>
      </c>
      <c r="G2" s="53"/>
      <c r="H2" s="53" t="s">
        <v>42</v>
      </c>
      <c r="I2" s="53"/>
      <c r="J2" s="53" t="s">
        <v>43</v>
      </c>
      <c r="K2" s="53"/>
      <c r="L2" s="89" t="s">
        <v>89</v>
      </c>
      <c r="M2" s="54" t="s">
        <v>69</v>
      </c>
      <c r="N2" s="54" t="s">
        <v>90</v>
      </c>
      <c r="O2" s="85" t="s">
        <v>87</v>
      </c>
      <c r="P2" s="55" t="str">
        <f>"FY 2020-21 
with "&amp;O2</f>
        <v>FY 2020-21 
with Guardrail Allocation
(-3%, 12%)</v>
      </c>
      <c r="Q2" s="54" t="s">
        <v>90</v>
      </c>
    </row>
    <row r="3" spans="1:17" x14ac:dyDescent="0.25">
      <c r="A3" s="56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90"/>
      <c r="M3" s="57"/>
      <c r="N3" s="58">
        <f>AVERAGE(N4:N15)</f>
        <v>0.13736433460122335</v>
      </c>
      <c r="O3" s="86"/>
      <c r="P3" s="59"/>
      <c r="Q3" s="60"/>
    </row>
    <row r="4" spans="1:17" x14ac:dyDescent="0.25">
      <c r="A4" s="61" t="s">
        <v>22</v>
      </c>
      <c r="B4" s="62">
        <v>207.5</v>
      </c>
      <c r="C4" s="63">
        <f>B4*$B$51</f>
        <v>472062.5</v>
      </c>
      <c r="D4" s="62">
        <v>174.5</v>
      </c>
      <c r="E4" s="63">
        <f t="shared" ref="E4:E15" si="0">D4*$C$51</f>
        <v>467136.5</v>
      </c>
      <c r="F4" s="64">
        <v>125.5</v>
      </c>
      <c r="G4" s="63">
        <f t="shared" ref="G4:G15" si="1">F4*$D$51</f>
        <v>386414.5</v>
      </c>
      <c r="H4" s="64">
        <v>263.5</v>
      </c>
      <c r="I4" s="63">
        <f t="shared" ref="I4:I15" si="2">H4*$E$51</f>
        <v>917243.5</v>
      </c>
      <c r="J4" s="65">
        <v>7.5</v>
      </c>
      <c r="K4" s="63">
        <f t="shared" ref="K4:K15" si="3">J4*$B$51</f>
        <v>17062.5</v>
      </c>
      <c r="L4" s="91">
        <v>2259818</v>
      </c>
      <c r="M4" s="63">
        <f t="shared" ref="M4:M15" si="4">SUM(K4+I4+G4+E4+C4)</f>
        <v>2259919.5</v>
      </c>
      <c r="N4" s="66">
        <f t="shared" ref="N4:N15" si="5">(M4-L4)/L4</f>
        <v>4.4915121483234489E-5</v>
      </c>
      <c r="O4" s="87">
        <f t="shared" ref="O4:O46" si="6">IF(N4&lt;-0.03,L4*0.97,IF(N4&gt;0.12,L4*1.12,M4))</f>
        <v>2259919.5</v>
      </c>
      <c r="P4" s="67">
        <f t="shared" ref="P4:P15" si="7">IF(O4=FALSE,M4,O4)</f>
        <v>2259919.5</v>
      </c>
      <c r="Q4" s="68">
        <f t="shared" ref="Q4:Q15" si="8">(P4-L4)/L4</f>
        <v>4.4915121483234489E-5</v>
      </c>
    </row>
    <row r="5" spans="1:17" x14ac:dyDescent="0.25">
      <c r="A5" s="61" t="s">
        <v>23</v>
      </c>
      <c r="B5" s="62">
        <v>588</v>
      </c>
      <c r="C5" s="63">
        <f t="shared" ref="C5:C30" si="9">B5*$B$51</f>
        <v>1337700</v>
      </c>
      <c r="D5" s="62">
        <v>759.5</v>
      </c>
      <c r="E5" s="63">
        <f t="shared" si="0"/>
        <v>2033181.5</v>
      </c>
      <c r="F5" s="64">
        <v>574</v>
      </c>
      <c r="G5" s="63">
        <f t="shared" si="1"/>
        <v>1767346</v>
      </c>
      <c r="H5" s="64">
        <v>1157</v>
      </c>
      <c r="I5" s="63">
        <f t="shared" si="2"/>
        <v>4027517</v>
      </c>
      <c r="J5" s="65">
        <v>23</v>
      </c>
      <c r="K5" s="63">
        <f t="shared" si="3"/>
        <v>52325</v>
      </c>
      <c r="L5" s="91">
        <v>8358127</v>
      </c>
      <c r="M5" s="63">
        <f t="shared" si="4"/>
        <v>9218069.5</v>
      </c>
      <c r="N5" s="66">
        <f t="shared" si="5"/>
        <v>0.10288698652221963</v>
      </c>
      <c r="O5" s="87">
        <f t="shared" si="6"/>
        <v>9218069.5</v>
      </c>
      <c r="P5" s="67">
        <f t="shared" si="7"/>
        <v>9218069.5</v>
      </c>
      <c r="Q5" s="68">
        <f t="shared" si="8"/>
        <v>0.10288698652221963</v>
      </c>
    </row>
    <row r="6" spans="1:17" x14ac:dyDescent="0.25">
      <c r="A6" s="61" t="s">
        <v>25</v>
      </c>
      <c r="B6" s="62">
        <v>98.5</v>
      </c>
      <c r="C6" s="63">
        <f t="shared" si="9"/>
        <v>224087.5</v>
      </c>
      <c r="D6" s="62">
        <v>129.5</v>
      </c>
      <c r="E6" s="63">
        <f t="shared" si="0"/>
        <v>346671.5</v>
      </c>
      <c r="F6" s="64">
        <v>132.5</v>
      </c>
      <c r="G6" s="63">
        <f t="shared" si="1"/>
        <v>407967.5</v>
      </c>
      <c r="H6" s="64">
        <v>238.5</v>
      </c>
      <c r="I6" s="63">
        <f t="shared" si="2"/>
        <v>830218.5</v>
      </c>
      <c r="J6" s="65">
        <v>5.5</v>
      </c>
      <c r="K6" s="63">
        <f t="shared" si="3"/>
        <v>12512.5</v>
      </c>
      <c r="L6" s="91">
        <v>1618343</v>
      </c>
      <c r="M6" s="63">
        <f t="shared" si="4"/>
        <v>1821457.5</v>
      </c>
      <c r="N6" s="66">
        <f t="shared" si="5"/>
        <v>0.12550769521665062</v>
      </c>
      <c r="O6" s="87">
        <f t="shared" si="6"/>
        <v>1812544.1600000001</v>
      </c>
      <c r="P6" s="67">
        <f t="shared" si="7"/>
        <v>1812544.1600000001</v>
      </c>
      <c r="Q6" s="68">
        <f t="shared" si="8"/>
        <v>0.12000000000000009</v>
      </c>
    </row>
    <row r="7" spans="1:17" x14ac:dyDescent="0.25">
      <c r="A7" s="61" t="s">
        <v>26</v>
      </c>
      <c r="B7" s="62">
        <v>1176.5</v>
      </c>
      <c r="C7" s="63">
        <f t="shared" si="9"/>
        <v>2676537.5</v>
      </c>
      <c r="D7" s="62">
        <v>1033</v>
      </c>
      <c r="E7" s="63">
        <f t="shared" si="0"/>
        <v>2765341</v>
      </c>
      <c r="F7" s="64">
        <v>1241.5</v>
      </c>
      <c r="G7" s="63">
        <f t="shared" si="1"/>
        <v>3822578.5</v>
      </c>
      <c r="H7" s="64">
        <v>1680.5</v>
      </c>
      <c r="I7" s="63">
        <f t="shared" si="2"/>
        <v>5849820.5</v>
      </c>
      <c r="J7" s="65">
        <v>15</v>
      </c>
      <c r="K7" s="63">
        <f t="shared" si="3"/>
        <v>34125</v>
      </c>
      <c r="L7" s="91">
        <v>13125938</v>
      </c>
      <c r="M7" s="63">
        <f t="shared" si="4"/>
        <v>15148402.5</v>
      </c>
      <c r="N7" s="66">
        <f t="shared" si="5"/>
        <v>0.15408152164058675</v>
      </c>
      <c r="O7" s="87">
        <f t="shared" si="6"/>
        <v>14701050.560000001</v>
      </c>
      <c r="P7" s="67">
        <f t="shared" si="7"/>
        <v>14701050.560000001</v>
      </c>
      <c r="Q7" s="68">
        <f t="shared" si="8"/>
        <v>0.12000000000000004</v>
      </c>
    </row>
    <row r="8" spans="1:17" x14ac:dyDescent="0.25">
      <c r="A8" s="61" t="s">
        <v>27</v>
      </c>
      <c r="B8" s="62">
        <v>298.5</v>
      </c>
      <c r="C8" s="63">
        <f t="shared" si="9"/>
        <v>679087.5</v>
      </c>
      <c r="D8" s="62">
        <v>336.5</v>
      </c>
      <c r="E8" s="63">
        <f t="shared" si="0"/>
        <v>900810.5</v>
      </c>
      <c r="F8" s="64">
        <v>356</v>
      </c>
      <c r="G8" s="63">
        <f t="shared" si="1"/>
        <v>1096124</v>
      </c>
      <c r="H8" s="64">
        <v>687</v>
      </c>
      <c r="I8" s="63">
        <f t="shared" si="2"/>
        <v>2391447</v>
      </c>
      <c r="J8" s="65">
        <v>13</v>
      </c>
      <c r="K8" s="63">
        <f t="shared" si="3"/>
        <v>29575</v>
      </c>
      <c r="L8" s="91">
        <v>4579037</v>
      </c>
      <c r="M8" s="63">
        <f t="shared" si="4"/>
        <v>5097044</v>
      </c>
      <c r="N8" s="66">
        <f t="shared" si="5"/>
        <v>0.11312575111317073</v>
      </c>
      <c r="O8" s="87">
        <f t="shared" si="6"/>
        <v>5097044</v>
      </c>
      <c r="P8" s="67">
        <f t="shared" si="7"/>
        <v>5097044</v>
      </c>
      <c r="Q8" s="68">
        <f t="shared" si="8"/>
        <v>0.11312575111317073</v>
      </c>
    </row>
    <row r="9" spans="1:17" x14ac:dyDescent="0.25">
      <c r="A9" s="61" t="s">
        <v>28</v>
      </c>
      <c r="B9" s="62">
        <v>64.5</v>
      </c>
      <c r="C9" s="63">
        <f t="shared" si="9"/>
        <v>146737.5</v>
      </c>
      <c r="D9" s="62">
        <v>97.5</v>
      </c>
      <c r="E9" s="63">
        <f t="shared" si="0"/>
        <v>261007.5</v>
      </c>
      <c r="F9" s="64">
        <v>110.5</v>
      </c>
      <c r="G9" s="63">
        <f t="shared" si="1"/>
        <v>340229.5</v>
      </c>
      <c r="H9" s="64">
        <v>212</v>
      </c>
      <c r="I9" s="63">
        <f t="shared" si="2"/>
        <v>737972</v>
      </c>
      <c r="J9" s="65">
        <v>2</v>
      </c>
      <c r="K9" s="63">
        <f t="shared" si="3"/>
        <v>4550</v>
      </c>
      <c r="L9" s="91">
        <v>1497559</v>
      </c>
      <c r="M9" s="63">
        <f t="shared" si="4"/>
        <v>1490496.5</v>
      </c>
      <c r="N9" s="66">
        <f t="shared" si="5"/>
        <v>-4.7160078501080763E-3</v>
      </c>
      <c r="O9" s="87">
        <f t="shared" si="6"/>
        <v>1490496.5</v>
      </c>
      <c r="P9" s="67">
        <f t="shared" si="7"/>
        <v>1490496.5</v>
      </c>
      <c r="Q9" s="68">
        <f t="shared" si="8"/>
        <v>-4.7160078501080763E-3</v>
      </c>
    </row>
    <row r="10" spans="1:17" x14ac:dyDescent="0.25">
      <c r="A10" s="61" t="s">
        <v>29</v>
      </c>
      <c r="B10" s="62">
        <v>1454</v>
      </c>
      <c r="C10" s="63">
        <f t="shared" si="9"/>
        <v>3307850</v>
      </c>
      <c r="D10" s="62">
        <v>1421</v>
      </c>
      <c r="E10" s="63">
        <f t="shared" si="0"/>
        <v>3804017</v>
      </c>
      <c r="F10" s="64">
        <v>1629.5</v>
      </c>
      <c r="G10" s="63">
        <f t="shared" si="1"/>
        <v>5017230.5</v>
      </c>
      <c r="H10" s="64">
        <v>3412.5</v>
      </c>
      <c r="I10" s="63">
        <f t="shared" si="2"/>
        <v>11878912.5</v>
      </c>
      <c r="J10" s="62">
        <v>24.5</v>
      </c>
      <c r="K10" s="63">
        <f t="shared" si="3"/>
        <v>55737.5</v>
      </c>
      <c r="L10" s="91">
        <v>20913437</v>
      </c>
      <c r="M10" s="63">
        <f t="shared" si="4"/>
        <v>24063747.5</v>
      </c>
      <c r="N10" s="66">
        <f t="shared" si="5"/>
        <v>0.15063571329762773</v>
      </c>
      <c r="O10" s="87">
        <f t="shared" si="6"/>
        <v>23423049.440000001</v>
      </c>
      <c r="P10" s="67">
        <f t="shared" si="7"/>
        <v>23423049.440000001</v>
      </c>
      <c r="Q10" s="68">
        <f t="shared" si="8"/>
        <v>0.12000000000000006</v>
      </c>
    </row>
    <row r="11" spans="1:17" x14ac:dyDescent="0.25">
      <c r="A11" s="61" t="s">
        <v>30</v>
      </c>
      <c r="B11" s="62">
        <v>583.5</v>
      </c>
      <c r="C11" s="63">
        <f t="shared" si="9"/>
        <v>1327462.5</v>
      </c>
      <c r="D11" s="62">
        <v>819</v>
      </c>
      <c r="E11" s="63">
        <f t="shared" si="0"/>
        <v>2192463</v>
      </c>
      <c r="F11" s="64">
        <v>898</v>
      </c>
      <c r="G11" s="63">
        <f t="shared" si="1"/>
        <v>2764942</v>
      </c>
      <c r="H11" s="64">
        <v>1986.5</v>
      </c>
      <c r="I11" s="63">
        <f t="shared" si="2"/>
        <v>6915006.5</v>
      </c>
      <c r="J11" s="65">
        <v>13.5</v>
      </c>
      <c r="K11" s="63">
        <f t="shared" si="3"/>
        <v>30712.5</v>
      </c>
      <c r="L11" s="91">
        <v>10546316</v>
      </c>
      <c r="M11" s="63">
        <f t="shared" si="4"/>
        <v>13230586.5</v>
      </c>
      <c r="N11" s="66">
        <f t="shared" si="5"/>
        <v>0.25452210041876233</v>
      </c>
      <c r="O11" s="87">
        <f t="shared" si="6"/>
        <v>11811873.920000002</v>
      </c>
      <c r="P11" s="67">
        <f t="shared" si="7"/>
        <v>11811873.920000002</v>
      </c>
      <c r="Q11" s="68">
        <f t="shared" si="8"/>
        <v>0.12000000000000018</v>
      </c>
    </row>
    <row r="12" spans="1:17" x14ac:dyDescent="0.25">
      <c r="A12" s="61" t="s">
        <v>31</v>
      </c>
      <c r="B12" s="62">
        <v>587.5</v>
      </c>
      <c r="C12" s="63">
        <f t="shared" si="9"/>
        <v>1336562.5</v>
      </c>
      <c r="D12" s="62">
        <v>620</v>
      </c>
      <c r="E12" s="63">
        <f t="shared" si="0"/>
        <v>1659740</v>
      </c>
      <c r="F12" s="64">
        <v>677</v>
      </c>
      <c r="G12" s="63">
        <f t="shared" si="1"/>
        <v>2084483</v>
      </c>
      <c r="H12" s="64">
        <v>1562</v>
      </c>
      <c r="I12" s="63">
        <f t="shared" si="2"/>
        <v>5437322</v>
      </c>
      <c r="J12" s="65">
        <v>29.5</v>
      </c>
      <c r="K12" s="63">
        <f t="shared" si="3"/>
        <v>67112.5</v>
      </c>
      <c r="L12" s="91">
        <v>8941951</v>
      </c>
      <c r="M12" s="63">
        <f t="shared" si="4"/>
        <v>10585220</v>
      </c>
      <c r="N12" s="66">
        <f t="shared" si="5"/>
        <v>0.18377074533286974</v>
      </c>
      <c r="O12" s="87">
        <f t="shared" si="6"/>
        <v>10014985.120000001</v>
      </c>
      <c r="P12" s="67">
        <f t="shared" si="7"/>
        <v>10014985.120000001</v>
      </c>
      <c r="Q12" s="68">
        <f t="shared" si="8"/>
        <v>0.12000000000000012</v>
      </c>
    </row>
    <row r="13" spans="1:17" x14ac:dyDescent="0.25">
      <c r="A13" s="61" t="s">
        <v>32</v>
      </c>
      <c r="B13" s="62">
        <v>613.5</v>
      </c>
      <c r="C13" s="63">
        <f t="shared" si="9"/>
        <v>1395712.5</v>
      </c>
      <c r="D13" s="62">
        <v>729.5</v>
      </c>
      <c r="E13" s="63">
        <f t="shared" si="0"/>
        <v>1952871.5</v>
      </c>
      <c r="F13" s="64">
        <v>1063.5</v>
      </c>
      <c r="G13" s="63">
        <f t="shared" si="1"/>
        <v>3274516.5</v>
      </c>
      <c r="H13" s="64">
        <v>2048.5</v>
      </c>
      <c r="I13" s="63">
        <f t="shared" si="2"/>
        <v>7130828.5</v>
      </c>
      <c r="J13" s="65">
        <v>9.5</v>
      </c>
      <c r="K13" s="63">
        <f t="shared" si="3"/>
        <v>21612.5</v>
      </c>
      <c r="L13" s="91">
        <v>11286802</v>
      </c>
      <c r="M13" s="63">
        <f t="shared" si="4"/>
        <v>13775541.5</v>
      </c>
      <c r="N13" s="66">
        <f t="shared" si="5"/>
        <v>0.22049996978772199</v>
      </c>
      <c r="O13" s="87">
        <f t="shared" si="6"/>
        <v>12641218.240000002</v>
      </c>
      <c r="P13" s="67">
        <f t="shared" si="7"/>
        <v>12641218.240000002</v>
      </c>
      <c r="Q13" s="68">
        <f t="shared" si="8"/>
        <v>0.12000000000000019</v>
      </c>
    </row>
    <row r="14" spans="1:17" x14ac:dyDescent="0.25">
      <c r="A14" s="61" t="s">
        <v>33</v>
      </c>
      <c r="B14" s="62">
        <v>647</v>
      </c>
      <c r="C14" s="63">
        <f t="shared" si="9"/>
        <v>1471925</v>
      </c>
      <c r="D14" s="62">
        <v>527</v>
      </c>
      <c r="E14" s="63">
        <f t="shared" si="0"/>
        <v>1410779</v>
      </c>
      <c r="F14" s="64">
        <v>635.5</v>
      </c>
      <c r="G14" s="63">
        <f t="shared" si="1"/>
        <v>1956704.5</v>
      </c>
      <c r="H14" s="64">
        <v>1298.5</v>
      </c>
      <c r="I14" s="63">
        <f t="shared" si="2"/>
        <v>4520078.5</v>
      </c>
      <c r="J14" s="65">
        <v>3</v>
      </c>
      <c r="K14" s="63">
        <f t="shared" si="3"/>
        <v>6825</v>
      </c>
      <c r="L14" s="91">
        <v>7280013</v>
      </c>
      <c r="M14" s="63">
        <f t="shared" si="4"/>
        <v>9366312</v>
      </c>
      <c r="N14" s="66">
        <f t="shared" si="5"/>
        <v>0.28657902121878082</v>
      </c>
      <c r="O14" s="87">
        <f t="shared" si="6"/>
        <v>8153614.5600000005</v>
      </c>
      <c r="P14" s="67">
        <f t="shared" si="7"/>
        <v>8153614.5600000005</v>
      </c>
      <c r="Q14" s="68">
        <f t="shared" si="8"/>
        <v>0.12000000000000006</v>
      </c>
    </row>
    <row r="15" spans="1:17" x14ac:dyDescent="0.25">
      <c r="A15" s="61" t="s">
        <v>34</v>
      </c>
      <c r="B15" s="62">
        <v>71.5</v>
      </c>
      <c r="C15" s="63">
        <f t="shared" si="9"/>
        <v>162662.5</v>
      </c>
      <c r="D15" s="62">
        <v>99</v>
      </c>
      <c r="E15" s="63">
        <f t="shared" si="0"/>
        <v>265023</v>
      </c>
      <c r="F15" s="64">
        <v>92.5</v>
      </c>
      <c r="G15" s="63">
        <f t="shared" si="1"/>
        <v>284807.5</v>
      </c>
      <c r="H15" s="64">
        <v>194.5</v>
      </c>
      <c r="I15" s="63">
        <f t="shared" si="2"/>
        <v>677054.5</v>
      </c>
      <c r="J15" s="65">
        <v>0.5</v>
      </c>
      <c r="K15" s="63">
        <f t="shared" si="3"/>
        <v>1137.5</v>
      </c>
      <c r="L15" s="91">
        <v>1310195</v>
      </c>
      <c r="M15" s="63">
        <f t="shared" si="4"/>
        <v>1390685</v>
      </c>
      <c r="N15" s="66">
        <f t="shared" si="5"/>
        <v>6.14336033949145E-2</v>
      </c>
      <c r="O15" s="87">
        <f t="shared" si="6"/>
        <v>1390685</v>
      </c>
      <c r="P15" s="67">
        <f t="shared" si="7"/>
        <v>1390685</v>
      </c>
      <c r="Q15" s="68">
        <f t="shared" si="8"/>
        <v>6.14336033949145E-2</v>
      </c>
    </row>
    <row r="16" spans="1:17" x14ac:dyDescent="0.25">
      <c r="A16" s="69"/>
      <c r="B16" s="65"/>
      <c r="C16" s="63"/>
      <c r="D16" s="62"/>
      <c r="E16" s="63"/>
      <c r="F16" s="65"/>
      <c r="G16" s="63"/>
      <c r="H16" s="65"/>
      <c r="I16" s="63"/>
      <c r="J16" s="65"/>
      <c r="K16" s="63"/>
      <c r="L16" s="92"/>
      <c r="M16" s="63"/>
      <c r="N16" s="66"/>
      <c r="O16" s="87">
        <f t="shared" si="6"/>
        <v>0</v>
      </c>
      <c r="P16" s="67"/>
      <c r="Q16" s="68"/>
    </row>
    <row r="17" spans="1:17" x14ac:dyDescent="0.25">
      <c r="A17" s="70" t="s">
        <v>45</v>
      </c>
      <c r="B17" s="65"/>
      <c r="C17" s="63"/>
      <c r="D17" s="6"/>
      <c r="E17" s="63"/>
      <c r="F17" s="65"/>
      <c r="G17" s="63"/>
      <c r="H17" s="65"/>
      <c r="I17" s="63"/>
      <c r="J17" s="65"/>
      <c r="K17" s="63"/>
      <c r="L17" s="92"/>
      <c r="M17" s="63"/>
      <c r="N17" s="66"/>
      <c r="O17" s="87">
        <f t="shared" si="6"/>
        <v>0</v>
      </c>
      <c r="P17" s="67"/>
      <c r="Q17" s="68"/>
    </row>
    <row r="18" spans="1:17" x14ac:dyDescent="0.25">
      <c r="A18" s="61" t="s">
        <v>2</v>
      </c>
      <c r="B18" s="62">
        <v>528.5</v>
      </c>
      <c r="C18" s="63">
        <f t="shared" si="9"/>
        <v>1202337.5</v>
      </c>
      <c r="D18" s="64">
        <v>603.5</v>
      </c>
      <c r="E18" s="63">
        <f t="shared" ref="E18:E30" si="10">D18*$C$51</f>
        <v>1615569.5</v>
      </c>
      <c r="F18" s="62">
        <v>3</v>
      </c>
      <c r="G18" s="71">
        <f t="shared" ref="G18" si="11">F18*$D$51</f>
        <v>9237</v>
      </c>
      <c r="H18" s="62"/>
      <c r="I18" s="63"/>
      <c r="J18" s="72"/>
      <c r="K18" s="63"/>
      <c r="L18" s="91">
        <v>3004148</v>
      </c>
      <c r="M18" s="63">
        <f t="shared" ref="M18:M30" si="12">SUM(K18+I18+G18+E18+C18)</f>
        <v>2827144</v>
      </c>
      <c r="N18" s="66">
        <f t="shared" ref="N18:N30" si="13">(M18-L18)/L18</f>
        <v>-5.8919866797507978E-2</v>
      </c>
      <c r="O18" s="87">
        <f t="shared" si="6"/>
        <v>2914023.56</v>
      </c>
      <c r="P18" s="67">
        <f t="shared" ref="P18:P30" si="14">IF(O18=FALSE,M18,O18)</f>
        <v>2914023.56</v>
      </c>
      <c r="Q18" s="68">
        <f t="shared" ref="Q18:Q30" si="15">(P18-L18)/L18</f>
        <v>-2.9999999999999982E-2</v>
      </c>
    </row>
    <row r="19" spans="1:17" x14ac:dyDescent="0.25">
      <c r="A19" s="61" t="s">
        <v>3</v>
      </c>
      <c r="B19" s="62">
        <v>58.5</v>
      </c>
      <c r="C19" s="63">
        <f t="shared" si="9"/>
        <v>133087.5</v>
      </c>
      <c r="D19" s="64">
        <v>145</v>
      </c>
      <c r="E19" s="63">
        <f t="shared" si="10"/>
        <v>388165</v>
      </c>
      <c r="F19" s="62"/>
      <c r="G19" s="71"/>
      <c r="H19" s="62"/>
      <c r="I19" s="63"/>
      <c r="J19" s="72"/>
      <c r="K19" s="63"/>
      <c r="L19" s="91">
        <v>476475</v>
      </c>
      <c r="M19" s="63">
        <f t="shared" si="12"/>
        <v>521252.5</v>
      </c>
      <c r="N19" s="66">
        <f t="shared" si="13"/>
        <v>9.3976598982108195E-2</v>
      </c>
      <c r="O19" s="87">
        <f t="shared" si="6"/>
        <v>521252.5</v>
      </c>
      <c r="P19" s="67">
        <f t="shared" si="14"/>
        <v>521252.5</v>
      </c>
      <c r="Q19" s="68">
        <f t="shared" si="15"/>
        <v>9.3976598982108195E-2</v>
      </c>
    </row>
    <row r="20" spans="1:17" x14ac:dyDescent="0.25">
      <c r="A20" s="61" t="s">
        <v>4</v>
      </c>
      <c r="B20" s="62">
        <v>737</v>
      </c>
      <c r="C20" s="63">
        <f t="shared" si="9"/>
        <v>1676675</v>
      </c>
      <c r="D20" s="64">
        <v>824.5</v>
      </c>
      <c r="E20" s="63">
        <f t="shared" si="10"/>
        <v>2207186.5</v>
      </c>
      <c r="F20" s="62"/>
      <c r="G20" s="71"/>
      <c r="H20" s="62"/>
      <c r="I20" s="63"/>
      <c r="J20" s="72"/>
      <c r="K20" s="63"/>
      <c r="L20" s="91">
        <v>3851839</v>
      </c>
      <c r="M20" s="63">
        <f t="shared" si="12"/>
        <v>3883861.5</v>
      </c>
      <c r="N20" s="66">
        <f t="shared" si="13"/>
        <v>8.3135613923634912E-3</v>
      </c>
      <c r="O20" s="87">
        <f t="shared" si="6"/>
        <v>3883861.5</v>
      </c>
      <c r="P20" s="67">
        <f t="shared" si="14"/>
        <v>3883861.5</v>
      </c>
      <c r="Q20" s="68">
        <f t="shared" si="15"/>
        <v>8.3135613923634912E-3</v>
      </c>
    </row>
    <row r="21" spans="1:17" x14ac:dyDescent="0.25">
      <c r="A21" s="61" t="s">
        <v>5</v>
      </c>
      <c r="B21" s="62">
        <v>1169.5</v>
      </c>
      <c r="C21" s="63">
        <f t="shared" si="9"/>
        <v>2660612.5</v>
      </c>
      <c r="D21" s="64">
        <v>1049</v>
      </c>
      <c r="E21" s="63">
        <f t="shared" si="10"/>
        <v>2808173</v>
      </c>
      <c r="F21" s="62"/>
      <c r="G21" s="71"/>
      <c r="H21" s="62">
        <v>1.5</v>
      </c>
      <c r="I21" s="71">
        <f>H21*$E$51</f>
        <v>5221.5</v>
      </c>
      <c r="J21" s="72">
        <v>0.5</v>
      </c>
      <c r="K21" s="63"/>
      <c r="L21" s="91">
        <v>5340274</v>
      </c>
      <c r="M21" s="63">
        <f t="shared" si="12"/>
        <v>5474007</v>
      </c>
      <c r="N21" s="66">
        <f t="shared" si="13"/>
        <v>2.504234801435282E-2</v>
      </c>
      <c r="O21" s="87">
        <f t="shared" si="6"/>
        <v>5474007</v>
      </c>
      <c r="P21" s="67">
        <f t="shared" si="14"/>
        <v>5474007</v>
      </c>
      <c r="Q21" s="68">
        <f t="shared" si="15"/>
        <v>2.504234801435282E-2</v>
      </c>
    </row>
    <row r="22" spans="1:17" x14ac:dyDescent="0.25">
      <c r="A22" s="61" t="s">
        <v>6</v>
      </c>
      <c r="B22" s="62">
        <v>1706</v>
      </c>
      <c r="C22" s="63">
        <f t="shared" si="9"/>
        <v>3881150</v>
      </c>
      <c r="D22" s="64">
        <v>1904.5</v>
      </c>
      <c r="E22" s="63">
        <f t="shared" si="10"/>
        <v>5098346.5</v>
      </c>
      <c r="F22" s="62"/>
      <c r="G22" s="71"/>
      <c r="H22" s="62"/>
      <c r="I22" s="71"/>
      <c r="J22" s="72"/>
      <c r="K22" s="63"/>
      <c r="L22" s="91">
        <v>8960400</v>
      </c>
      <c r="M22" s="63">
        <f t="shared" si="12"/>
        <v>8979496.5</v>
      </c>
      <c r="N22" s="66">
        <f t="shared" si="13"/>
        <v>2.1312106602383823E-3</v>
      </c>
      <c r="O22" s="87">
        <f t="shared" si="6"/>
        <v>8979496.5</v>
      </c>
      <c r="P22" s="67">
        <f t="shared" si="14"/>
        <v>8979496.5</v>
      </c>
      <c r="Q22" s="68">
        <f t="shared" si="15"/>
        <v>2.1312106602383823E-3</v>
      </c>
    </row>
    <row r="23" spans="1:17" x14ac:dyDescent="0.25">
      <c r="A23" s="61" t="s">
        <v>7</v>
      </c>
      <c r="B23" s="62">
        <v>94</v>
      </c>
      <c r="C23" s="63">
        <f t="shared" si="9"/>
        <v>213850</v>
      </c>
      <c r="D23" s="64">
        <v>150.5</v>
      </c>
      <c r="E23" s="63">
        <f t="shared" si="10"/>
        <v>402888.5</v>
      </c>
      <c r="F23" s="62"/>
      <c r="G23" s="71"/>
      <c r="H23" s="62"/>
      <c r="I23" s="71"/>
      <c r="J23" s="72"/>
      <c r="K23" s="63"/>
      <c r="L23" s="91">
        <v>534912</v>
      </c>
      <c r="M23" s="63">
        <f t="shared" si="12"/>
        <v>616738.5</v>
      </c>
      <c r="N23" s="66">
        <f t="shared" si="13"/>
        <v>0.15297189070351758</v>
      </c>
      <c r="O23" s="87">
        <f t="shared" si="6"/>
        <v>599101.44000000006</v>
      </c>
      <c r="P23" s="67">
        <f t="shared" si="14"/>
        <v>599101.44000000006</v>
      </c>
      <c r="Q23" s="68">
        <f t="shared" si="15"/>
        <v>0.12000000000000011</v>
      </c>
    </row>
    <row r="24" spans="1:17" x14ac:dyDescent="0.25">
      <c r="A24" s="61" t="s">
        <v>8</v>
      </c>
      <c r="B24" s="62">
        <v>76.5</v>
      </c>
      <c r="C24" s="63">
        <f t="shared" si="9"/>
        <v>174037.5</v>
      </c>
      <c r="D24" s="64">
        <v>151.5</v>
      </c>
      <c r="E24" s="63">
        <f t="shared" si="10"/>
        <v>405565.5</v>
      </c>
      <c r="F24" s="62"/>
      <c r="G24" s="71"/>
      <c r="H24" s="62"/>
      <c r="I24" s="71"/>
      <c r="J24" s="72"/>
      <c r="K24" s="63"/>
      <c r="L24" s="91">
        <v>657553</v>
      </c>
      <c r="M24" s="63">
        <f t="shared" si="12"/>
        <v>579603</v>
      </c>
      <c r="N24" s="66">
        <f t="shared" si="13"/>
        <v>-0.11854557731468034</v>
      </c>
      <c r="O24" s="87">
        <f t="shared" si="6"/>
        <v>637826.41</v>
      </c>
      <c r="P24" s="67">
        <f t="shared" si="14"/>
        <v>637826.41</v>
      </c>
      <c r="Q24" s="68">
        <f t="shared" si="15"/>
        <v>-2.999999999999995E-2</v>
      </c>
    </row>
    <row r="25" spans="1:17" x14ac:dyDescent="0.25">
      <c r="A25" s="61" t="s">
        <v>9</v>
      </c>
      <c r="B25" s="62">
        <v>127.5</v>
      </c>
      <c r="C25" s="63">
        <f t="shared" si="9"/>
        <v>290062.5</v>
      </c>
      <c r="D25" s="64">
        <v>227</v>
      </c>
      <c r="E25" s="63">
        <f t="shared" si="10"/>
        <v>607679</v>
      </c>
      <c r="F25" s="62"/>
      <c r="G25" s="71"/>
      <c r="H25" s="62"/>
      <c r="I25" s="71"/>
      <c r="J25" s="72"/>
      <c r="K25" s="63"/>
      <c r="L25" s="91">
        <v>866153</v>
      </c>
      <c r="M25" s="63">
        <f t="shared" si="12"/>
        <v>897741.5</v>
      </c>
      <c r="N25" s="66">
        <f t="shared" si="13"/>
        <v>3.6469884650864225E-2</v>
      </c>
      <c r="O25" s="87">
        <f t="shared" si="6"/>
        <v>897741.5</v>
      </c>
      <c r="P25" s="67">
        <f t="shared" si="14"/>
        <v>897741.5</v>
      </c>
      <c r="Q25" s="68">
        <f t="shared" si="15"/>
        <v>3.6469884650864225E-2</v>
      </c>
    </row>
    <row r="26" spans="1:17" x14ac:dyDescent="0.25">
      <c r="A26" s="61" t="s">
        <v>10</v>
      </c>
      <c r="B26" s="62">
        <v>146</v>
      </c>
      <c r="C26" s="63">
        <f t="shared" si="9"/>
        <v>332150</v>
      </c>
      <c r="D26" s="64">
        <v>309.5</v>
      </c>
      <c r="E26" s="63">
        <f t="shared" si="10"/>
        <v>828531.5</v>
      </c>
      <c r="F26" s="62"/>
      <c r="G26" s="71"/>
      <c r="H26" s="62"/>
      <c r="I26" s="71"/>
      <c r="J26" s="72"/>
      <c r="K26" s="63"/>
      <c r="L26" s="91">
        <v>1026685</v>
      </c>
      <c r="M26" s="63">
        <f t="shared" si="12"/>
        <v>1160681.5</v>
      </c>
      <c r="N26" s="66">
        <f t="shared" si="13"/>
        <v>0.13051374082605668</v>
      </c>
      <c r="O26" s="87">
        <f t="shared" si="6"/>
        <v>1149887.2000000002</v>
      </c>
      <c r="P26" s="67">
        <f t="shared" si="14"/>
        <v>1149887.2000000002</v>
      </c>
      <c r="Q26" s="68">
        <f t="shared" si="15"/>
        <v>0.12000000000000018</v>
      </c>
    </row>
    <row r="27" spans="1:17" x14ac:dyDescent="0.25">
      <c r="A27" s="61" t="s">
        <v>11</v>
      </c>
      <c r="B27" s="62">
        <v>1970</v>
      </c>
      <c r="C27" s="63">
        <f t="shared" si="9"/>
        <v>4481750</v>
      </c>
      <c r="D27" s="64">
        <v>2652.5</v>
      </c>
      <c r="E27" s="63">
        <f t="shared" si="10"/>
        <v>7100742.5</v>
      </c>
      <c r="F27" s="62">
        <v>2</v>
      </c>
      <c r="G27" s="71">
        <f>F27*$D$51</f>
        <v>6158</v>
      </c>
      <c r="H27" s="62">
        <v>2</v>
      </c>
      <c r="I27" s="71"/>
      <c r="J27" s="72">
        <v>1</v>
      </c>
      <c r="K27" s="63"/>
      <c r="L27" s="91">
        <v>9993071</v>
      </c>
      <c r="M27" s="63">
        <f t="shared" si="12"/>
        <v>11588650.5</v>
      </c>
      <c r="N27" s="66">
        <f t="shared" si="13"/>
        <v>0.15966858436210452</v>
      </c>
      <c r="O27" s="87">
        <f t="shared" si="6"/>
        <v>11192239.520000001</v>
      </c>
      <c r="P27" s="67">
        <f t="shared" si="14"/>
        <v>11192239.520000001</v>
      </c>
      <c r="Q27" s="68">
        <f t="shared" si="15"/>
        <v>0.12000000000000015</v>
      </c>
    </row>
    <row r="28" spans="1:17" x14ac:dyDescent="0.25">
      <c r="A28" s="61" t="s">
        <v>12</v>
      </c>
      <c r="B28" s="62">
        <v>869.5</v>
      </c>
      <c r="C28" s="63">
        <f t="shared" si="9"/>
        <v>1978112.5</v>
      </c>
      <c r="D28" s="64">
        <v>1000.5</v>
      </c>
      <c r="E28" s="63">
        <f t="shared" si="10"/>
        <v>2678338.5</v>
      </c>
      <c r="F28" s="62"/>
      <c r="G28" s="71"/>
      <c r="H28" s="62">
        <v>7.5</v>
      </c>
      <c r="I28" s="71">
        <f t="shared" ref="I28:I29" si="16">H28*$E$51</f>
        <v>26107.5</v>
      </c>
      <c r="J28" s="72">
        <v>1</v>
      </c>
      <c r="K28" s="63"/>
      <c r="L28" s="91">
        <v>4756617</v>
      </c>
      <c r="M28" s="63">
        <f t="shared" si="12"/>
        <v>4682558.5</v>
      </c>
      <c r="N28" s="66">
        <f t="shared" si="13"/>
        <v>-1.5569573921970174E-2</v>
      </c>
      <c r="O28" s="87">
        <f t="shared" si="6"/>
        <v>4682558.5</v>
      </c>
      <c r="P28" s="67">
        <f t="shared" si="14"/>
        <v>4682558.5</v>
      </c>
      <c r="Q28" s="68">
        <f t="shared" si="15"/>
        <v>-1.5569573921970174E-2</v>
      </c>
    </row>
    <row r="29" spans="1:17" x14ac:dyDescent="0.25">
      <c r="A29" s="61" t="s">
        <v>13</v>
      </c>
      <c r="B29" s="62">
        <v>692.5</v>
      </c>
      <c r="C29" s="63">
        <f t="shared" si="9"/>
        <v>1575437.5</v>
      </c>
      <c r="D29" s="64">
        <v>871.5</v>
      </c>
      <c r="E29" s="63">
        <f t="shared" si="10"/>
        <v>2333005.5</v>
      </c>
      <c r="F29" s="62">
        <v>1</v>
      </c>
      <c r="G29" s="71">
        <f t="shared" ref="G29" si="17">F29*$D$51</f>
        <v>3079</v>
      </c>
      <c r="H29" s="62">
        <v>2</v>
      </c>
      <c r="I29" s="71">
        <f t="shared" si="16"/>
        <v>6962</v>
      </c>
      <c r="J29" s="72"/>
      <c r="K29" s="63"/>
      <c r="L29" s="91">
        <v>3816273</v>
      </c>
      <c r="M29" s="63">
        <f t="shared" si="12"/>
        <v>3918484</v>
      </c>
      <c r="N29" s="66">
        <f t="shared" si="13"/>
        <v>2.678293717456796E-2</v>
      </c>
      <c r="O29" s="87">
        <f t="shared" si="6"/>
        <v>3918484</v>
      </c>
      <c r="P29" s="67">
        <f t="shared" si="14"/>
        <v>3918484</v>
      </c>
      <c r="Q29" s="68">
        <f t="shared" si="15"/>
        <v>2.678293717456796E-2</v>
      </c>
    </row>
    <row r="30" spans="1:17" x14ac:dyDescent="0.25">
      <c r="A30" s="61" t="s">
        <v>14</v>
      </c>
      <c r="B30" s="62">
        <v>135.5</v>
      </c>
      <c r="C30" s="63">
        <f t="shared" si="9"/>
        <v>308262.5</v>
      </c>
      <c r="D30" s="64">
        <v>375</v>
      </c>
      <c r="E30" s="63">
        <f t="shared" si="10"/>
        <v>1003875</v>
      </c>
      <c r="F30" s="62"/>
      <c r="G30" s="63"/>
      <c r="H30" s="62"/>
      <c r="I30" s="63"/>
      <c r="J30" s="72">
        <v>2.5</v>
      </c>
      <c r="K30" s="63"/>
      <c r="L30" s="91">
        <v>1172874</v>
      </c>
      <c r="M30" s="63">
        <f t="shared" si="12"/>
        <v>1312137.5</v>
      </c>
      <c r="N30" s="66">
        <f t="shared" si="13"/>
        <v>0.11873696577808017</v>
      </c>
      <c r="O30" s="87">
        <f t="shared" si="6"/>
        <v>1312137.5</v>
      </c>
      <c r="P30" s="67">
        <f t="shared" si="14"/>
        <v>1312137.5</v>
      </c>
      <c r="Q30" s="68">
        <f t="shared" si="15"/>
        <v>0.11873696577808017</v>
      </c>
    </row>
    <row r="31" spans="1:17" x14ac:dyDescent="0.25">
      <c r="A31" s="69"/>
      <c r="B31" s="65"/>
      <c r="C31" s="63"/>
      <c r="D31" s="62"/>
      <c r="E31" s="63"/>
      <c r="F31" s="65"/>
      <c r="G31" s="63"/>
      <c r="H31" s="65"/>
      <c r="I31" s="63"/>
      <c r="J31" s="65"/>
      <c r="K31" s="63"/>
      <c r="L31" s="92"/>
      <c r="M31" s="63"/>
      <c r="N31" s="66"/>
      <c r="O31" s="87">
        <f t="shared" si="6"/>
        <v>0</v>
      </c>
      <c r="P31" s="67"/>
      <c r="Q31" s="68"/>
    </row>
    <row r="32" spans="1:17" x14ac:dyDescent="0.25">
      <c r="A32" s="70" t="s">
        <v>38</v>
      </c>
      <c r="B32" s="65"/>
      <c r="C32" s="63"/>
      <c r="D32" s="62"/>
      <c r="E32" s="63"/>
      <c r="F32" s="65"/>
      <c r="G32" s="63"/>
      <c r="H32" s="65"/>
      <c r="I32" s="63"/>
      <c r="J32" s="65"/>
      <c r="K32" s="63"/>
      <c r="L32" s="92"/>
      <c r="M32" s="63"/>
      <c r="N32" s="66"/>
      <c r="O32" s="87">
        <f t="shared" si="6"/>
        <v>0</v>
      </c>
      <c r="P32" s="67"/>
      <c r="Q32" s="68"/>
    </row>
    <row r="33" spans="1:17" x14ac:dyDescent="0.25">
      <c r="A33" s="61" t="s">
        <v>1</v>
      </c>
      <c r="B33" s="62">
        <v>899.5</v>
      </c>
      <c r="C33" s="63">
        <f>B33*$B$51</f>
        <v>2046362.5</v>
      </c>
      <c r="D33" s="64">
        <v>1007</v>
      </c>
      <c r="E33" s="63">
        <f>D33*$C$51</f>
        <v>2695739</v>
      </c>
      <c r="F33" s="65"/>
      <c r="G33" s="63"/>
      <c r="H33" s="65"/>
      <c r="I33" s="63"/>
      <c r="J33" s="65"/>
      <c r="K33" s="63"/>
      <c r="L33" s="91">
        <v>3621278</v>
      </c>
      <c r="M33" s="63">
        <f>SUM(K33+I33+G33+E33+C33)</f>
        <v>4742101.5</v>
      </c>
      <c r="N33" s="66">
        <f>(M33-L33)/L33</f>
        <v>0.30951048221097632</v>
      </c>
      <c r="O33" s="87">
        <f t="shared" si="6"/>
        <v>4055831.3600000003</v>
      </c>
      <c r="P33" s="67">
        <f>IF(O33=FALSE,M33,O33)</f>
        <v>4055831.3600000003</v>
      </c>
      <c r="Q33" s="68">
        <f>(P33-L33)/L33</f>
        <v>0.12000000000000009</v>
      </c>
    </row>
    <row r="34" spans="1:17" x14ac:dyDescent="0.25">
      <c r="A34" s="61" t="s">
        <v>24</v>
      </c>
      <c r="B34" s="62">
        <v>632</v>
      </c>
      <c r="C34" s="63">
        <f>B34*$B$51</f>
        <v>1437800</v>
      </c>
      <c r="D34" s="62">
        <v>404</v>
      </c>
      <c r="E34" s="63">
        <f>D34*$C$51</f>
        <v>1081508</v>
      </c>
      <c r="F34" s="65">
        <v>25</v>
      </c>
      <c r="G34" s="63">
        <f>F34*$D$51</f>
        <v>76975</v>
      </c>
      <c r="H34" s="65">
        <v>0</v>
      </c>
      <c r="I34" s="63">
        <f>H34*$E$51</f>
        <v>0</v>
      </c>
      <c r="J34" s="65"/>
      <c r="K34" s="63">
        <f>J34*$B$51</f>
        <v>0</v>
      </c>
      <c r="L34" s="91">
        <v>2203668</v>
      </c>
      <c r="M34" s="63">
        <f>SUM(K34+I34+G34+E34+C34)</f>
        <v>2596283</v>
      </c>
      <c r="N34" s="66">
        <f>(M34-L34)/L34</f>
        <v>0.17816431513276954</v>
      </c>
      <c r="O34" s="87">
        <f t="shared" si="6"/>
        <v>2468108.16</v>
      </c>
      <c r="P34" s="67">
        <f>IF(O34=FALSE,M34,O34)</f>
        <v>2468108.16</v>
      </c>
      <c r="Q34" s="68">
        <f>(P34-L34)/L34</f>
        <v>0.12000000000000006</v>
      </c>
    </row>
    <row r="35" spans="1:17" x14ac:dyDescent="0.25">
      <c r="A35" s="69"/>
      <c r="B35" s="65"/>
      <c r="C35" s="63"/>
      <c r="D35" s="62"/>
      <c r="E35" s="63"/>
      <c r="F35" s="65"/>
      <c r="G35" s="63"/>
      <c r="H35" s="65"/>
      <c r="I35" s="63"/>
      <c r="J35" s="65"/>
      <c r="K35" s="63"/>
      <c r="L35" s="92"/>
      <c r="M35" s="63"/>
      <c r="N35" s="66"/>
      <c r="O35" s="87">
        <f t="shared" si="6"/>
        <v>0</v>
      </c>
      <c r="P35" s="67"/>
      <c r="Q35" s="68"/>
    </row>
    <row r="36" spans="1:17" x14ac:dyDescent="0.25">
      <c r="A36" s="70" t="s">
        <v>46</v>
      </c>
      <c r="B36" s="65"/>
      <c r="C36" s="63"/>
      <c r="D36" s="6"/>
      <c r="E36" s="63"/>
      <c r="F36" s="65"/>
      <c r="G36" s="63"/>
      <c r="H36" s="65"/>
      <c r="I36" s="63"/>
      <c r="J36" s="65"/>
      <c r="K36" s="63"/>
      <c r="L36" s="92"/>
      <c r="M36" s="63"/>
      <c r="N36" s="66"/>
      <c r="O36" s="87">
        <f t="shared" si="6"/>
        <v>0</v>
      </c>
      <c r="P36" s="67"/>
      <c r="Q36" s="68"/>
    </row>
    <row r="37" spans="1:17" x14ac:dyDescent="0.25">
      <c r="A37" s="61" t="s">
        <v>18</v>
      </c>
      <c r="B37" s="62">
        <v>186.5</v>
      </c>
      <c r="C37" s="63">
        <f>B37*$B$51</f>
        <v>424287.5</v>
      </c>
      <c r="D37" s="64">
        <v>234</v>
      </c>
      <c r="E37" s="63">
        <f>D37*$C$51</f>
        <v>626418</v>
      </c>
      <c r="F37" s="65">
        <v>206</v>
      </c>
      <c r="G37" s="63">
        <f>F37*$D$51</f>
        <v>634274</v>
      </c>
      <c r="H37" s="64">
        <v>274</v>
      </c>
      <c r="I37" s="63">
        <f>H37*$E$51</f>
        <v>953794</v>
      </c>
      <c r="J37" s="65">
        <v>1.5</v>
      </c>
      <c r="K37" s="63">
        <f>J37*$B$51</f>
        <v>3412.5</v>
      </c>
      <c r="L37" s="91">
        <v>2167621</v>
      </c>
      <c r="M37" s="63">
        <f>SUM(K37+I37+G37+E37+C37)</f>
        <v>2642186</v>
      </c>
      <c r="N37" s="66">
        <f>(M37-L37)/L37</f>
        <v>0.21893356818373691</v>
      </c>
      <c r="O37" s="87">
        <f t="shared" si="6"/>
        <v>2427735.52</v>
      </c>
      <c r="P37" s="67">
        <f>IF(O37=FALSE,M37,O37)</f>
        <v>2427735.52</v>
      </c>
      <c r="Q37" s="68">
        <f>(P37-L37)/L37</f>
        <v>0.12000000000000001</v>
      </c>
    </row>
    <row r="38" spans="1:17" x14ac:dyDescent="0.25">
      <c r="A38" s="61" t="s">
        <v>16</v>
      </c>
      <c r="B38" s="62">
        <v>12</v>
      </c>
      <c r="C38" s="63">
        <f>B38*$B$51</f>
        <v>27300</v>
      </c>
      <c r="D38" s="64">
        <v>13.5</v>
      </c>
      <c r="E38" s="63">
        <f>D38*$C$51</f>
        <v>36139.5</v>
      </c>
      <c r="F38" s="65">
        <v>14</v>
      </c>
      <c r="G38" s="63">
        <f>F38*$D$51</f>
        <v>43106</v>
      </c>
      <c r="H38" s="64">
        <v>18.5</v>
      </c>
      <c r="I38" s="63">
        <f>H38*$E$51</f>
        <v>64398.5</v>
      </c>
      <c r="J38" s="65"/>
      <c r="K38" s="63"/>
      <c r="L38" s="91">
        <v>158879</v>
      </c>
      <c r="M38" s="63">
        <f>SUM(K38+I38+G38+E38+C38)</f>
        <v>170944</v>
      </c>
      <c r="N38" s="66">
        <f>(M38-L38)/L38</f>
        <v>7.5938292662969933E-2</v>
      </c>
      <c r="O38" s="87">
        <f t="shared" si="6"/>
        <v>170944</v>
      </c>
      <c r="P38" s="67">
        <f>IF(O38=FALSE,M38,O38)</f>
        <v>170944</v>
      </c>
      <c r="Q38" s="68">
        <f>(P38-L38)/L38</f>
        <v>7.5938292662969933E-2</v>
      </c>
    </row>
    <row r="39" spans="1:17" x14ac:dyDescent="0.25">
      <c r="A39" s="61" t="s">
        <v>17</v>
      </c>
      <c r="B39" s="62">
        <v>30</v>
      </c>
      <c r="C39" s="63">
        <f>B39*$B$51</f>
        <v>68250</v>
      </c>
      <c r="D39" s="64">
        <v>23</v>
      </c>
      <c r="E39" s="63">
        <f>D39*$C$51</f>
        <v>61571</v>
      </c>
      <c r="F39" s="65">
        <v>25.5</v>
      </c>
      <c r="G39" s="63">
        <f>F39*$D$51</f>
        <v>78514.5</v>
      </c>
      <c r="H39" s="64">
        <v>26</v>
      </c>
      <c r="I39" s="63">
        <f>H39*$E$51</f>
        <v>90506</v>
      </c>
      <c r="J39" s="65"/>
      <c r="K39" s="63"/>
      <c r="L39" s="91">
        <v>126850</v>
      </c>
      <c r="M39" s="63">
        <f>SUM(K39+I39+G39+E39+C39)</f>
        <v>298841.5</v>
      </c>
      <c r="N39" s="66">
        <f>(M39-L39)/L39</f>
        <v>1.3558651951123375</v>
      </c>
      <c r="O39" s="87">
        <f t="shared" si="6"/>
        <v>142072</v>
      </c>
      <c r="P39" s="67">
        <f>IF(O39=FALSE,M39,O39)</f>
        <v>142072</v>
      </c>
      <c r="Q39" s="68">
        <f>(P39-L39)/L39</f>
        <v>0.12</v>
      </c>
    </row>
    <row r="40" spans="1:17" x14ac:dyDescent="0.25">
      <c r="A40" s="61" t="s">
        <v>19</v>
      </c>
      <c r="B40" s="62">
        <v>147.5</v>
      </c>
      <c r="C40" s="63">
        <f>B40*$B$51</f>
        <v>335562.5</v>
      </c>
      <c r="D40" s="64">
        <v>125.5</v>
      </c>
      <c r="E40" s="63">
        <f>D40*$C$51</f>
        <v>335963.5</v>
      </c>
      <c r="F40" s="65">
        <v>187.5</v>
      </c>
      <c r="G40" s="63">
        <f>F40*$D$51</f>
        <v>577312.5</v>
      </c>
      <c r="H40" s="64">
        <v>313</v>
      </c>
      <c r="I40" s="63">
        <f>H40*$E$51</f>
        <v>1089553</v>
      </c>
      <c r="J40" s="65">
        <v>6.5</v>
      </c>
      <c r="K40" s="63">
        <f>J40*$B$51</f>
        <v>14787.5</v>
      </c>
      <c r="L40" s="91">
        <v>2410209</v>
      </c>
      <c r="M40" s="63">
        <f>SUM(K40+I40+G40+E40+C40)</f>
        <v>2353179</v>
      </c>
      <c r="N40" s="66">
        <f>(M40-L40)/L40</f>
        <v>-2.3661848412316111E-2</v>
      </c>
      <c r="O40" s="87">
        <f t="shared" si="6"/>
        <v>2353179</v>
      </c>
      <c r="P40" s="67">
        <f>IF(O40=FALSE,M40,O40)</f>
        <v>2353179</v>
      </c>
      <c r="Q40" s="68">
        <f>(P40-L40)/L40</f>
        <v>-2.3661848412316111E-2</v>
      </c>
    </row>
    <row r="41" spans="1:17" x14ac:dyDescent="0.25">
      <c r="A41" s="61" t="s">
        <v>20</v>
      </c>
      <c r="B41" s="62">
        <v>48</v>
      </c>
      <c r="C41" s="63">
        <f>B41*$B$51</f>
        <v>109200</v>
      </c>
      <c r="D41" s="64">
        <v>135</v>
      </c>
      <c r="E41" s="63">
        <f>D41*$C$51</f>
        <v>361395</v>
      </c>
      <c r="F41" s="65">
        <v>126.5</v>
      </c>
      <c r="G41" s="63">
        <f>F41*$D$51</f>
        <v>389493.5</v>
      </c>
      <c r="H41" s="64">
        <v>250</v>
      </c>
      <c r="I41" s="63">
        <f>H41*$E$51</f>
        <v>870250</v>
      </c>
      <c r="J41" s="65">
        <v>0.5</v>
      </c>
      <c r="K41" s="63">
        <f>J41*$B$51</f>
        <v>1137.5</v>
      </c>
      <c r="L41" s="91">
        <v>1460713</v>
      </c>
      <c r="M41" s="63">
        <f>SUM(K41+I41+G41+E41+C41)</f>
        <v>1731476</v>
      </c>
      <c r="N41" s="66">
        <f>(M41-L41)/L41</f>
        <v>0.18536358613909781</v>
      </c>
      <c r="O41" s="87">
        <f t="shared" si="6"/>
        <v>1635998.56</v>
      </c>
      <c r="P41" s="67">
        <f>IF(O41=FALSE,M41,O41)</f>
        <v>1635998.56</v>
      </c>
      <c r="Q41" s="68">
        <f>(P41-L41)/L41</f>
        <v>0.12000000000000004</v>
      </c>
    </row>
    <row r="42" spans="1:17" x14ac:dyDescent="0.25">
      <c r="A42" s="69"/>
      <c r="B42" s="65"/>
      <c r="C42" s="63"/>
      <c r="D42" s="62"/>
      <c r="E42" s="63"/>
      <c r="F42" s="65"/>
      <c r="G42" s="63"/>
      <c r="H42" s="62"/>
      <c r="I42" s="63"/>
      <c r="J42" s="65"/>
      <c r="K42" s="63"/>
      <c r="L42" s="92"/>
      <c r="M42" s="63"/>
      <c r="N42" s="66"/>
      <c r="O42" s="87">
        <f t="shared" si="6"/>
        <v>0</v>
      </c>
      <c r="P42" s="67"/>
      <c r="Q42" s="68"/>
    </row>
    <row r="43" spans="1:17" x14ac:dyDescent="0.25">
      <c r="A43" s="70" t="s">
        <v>47</v>
      </c>
      <c r="B43" s="65"/>
      <c r="C43" s="63"/>
      <c r="D43" s="62"/>
      <c r="E43" s="63"/>
      <c r="F43" s="65"/>
      <c r="G43" s="63"/>
      <c r="H43" s="62"/>
      <c r="I43" s="63"/>
      <c r="J43" s="65"/>
      <c r="K43" s="63"/>
      <c r="L43" s="92"/>
      <c r="M43" s="63"/>
      <c r="N43" s="66"/>
      <c r="O43" s="87">
        <f t="shared" si="6"/>
        <v>0</v>
      </c>
      <c r="P43" s="67"/>
      <c r="Q43" s="68"/>
    </row>
    <row r="44" spans="1:17" x14ac:dyDescent="0.25">
      <c r="A44" s="61" t="s">
        <v>37</v>
      </c>
      <c r="B44" s="62">
        <v>32.5</v>
      </c>
      <c r="C44" s="63">
        <f>B44*$B$51</f>
        <v>73937.5</v>
      </c>
      <c r="D44" s="64">
        <v>24</v>
      </c>
      <c r="E44" s="63">
        <f t="shared" ref="E44:E46" si="18">D44*$C$51</f>
        <v>64248</v>
      </c>
      <c r="F44" s="65"/>
      <c r="G44" s="63"/>
      <c r="H44" s="62"/>
      <c r="I44" s="63"/>
      <c r="J44" s="65"/>
      <c r="K44" s="63"/>
      <c r="L44" s="91">
        <v>151048</v>
      </c>
      <c r="M44" s="63">
        <f>SUM(K44+I44+G44+E44+C44)</f>
        <v>138185.5</v>
      </c>
      <c r="N44" s="66">
        <f>(M44-L44)/L44</f>
        <v>-8.5155050050315137E-2</v>
      </c>
      <c r="O44" s="87">
        <f t="shared" si="6"/>
        <v>146516.56</v>
      </c>
      <c r="P44" s="67">
        <f>IF(O44=FALSE,M44,O44)</f>
        <v>146516.56</v>
      </c>
      <c r="Q44" s="68">
        <f>(P44-L44)/L44</f>
        <v>-3.0000000000000016E-2</v>
      </c>
    </row>
    <row r="45" spans="1:17" x14ac:dyDescent="0.25">
      <c r="A45" s="61" t="s">
        <v>35</v>
      </c>
      <c r="B45" s="62">
        <v>490</v>
      </c>
      <c r="C45" s="63">
        <f>B45*$B$51</f>
        <v>1114750</v>
      </c>
      <c r="D45" s="64"/>
      <c r="E45" s="63">
        <f t="shared" si="18"/>
        <v>0</v>
      </c>
      <c r="F45" s="65"/>
      <c r="G45" s="63"/>
      <c r="H45" s="62"/>
      <c r="I45" s="63"/>
      <c r="J45" s="65"/>
      <c r="K45" s="63"/>
      <c r="L45" s="91">
        <v>717977</v>
      </c>
      <c r="M45" s="63">
        <f>SUM(K45+I45+G45+E45+C45)</f>
        <v>1114750</v>
      </c>
      <c r="N45" s="66">
        <f>(M45-L45)/L45</f>
        <v>0.55262633761248614</v>
      </c>
      <c r="O45" s="87">
        <f t="shared" si="6"/>
        <v>804134.24000000011</v>
      </c>
      <c r="P45" s="67">
        <f>IF(O45=FALSE,M45,O45)</f>
        <v>804134.24000000011</v>
      </c>
      <c r="Q45" s="68">
        <f>(P45-L45)/L45</f>
        <v>0.12000000000000015</v>
      </c>
    </row>
    <row r="46" spans="1:17" x14ac:dyDescent="0.25">
      <c r="A46" s="61" t="s">
        <v>36</v>
      </c>
      <c r="B46" s="62">
        <v>110</v>
      </c>
      <c r="C46" s="63">
        <f>B46*$B$51</f>
        <v>250250</v>
      </c>
      <c r="D46" s="73">
        <v>93.5</v>
      </c>
      <c r="E46" s="74">
        <f t="shared" si="18"/>
        <v>250299.5</v>
      </c>
      <c r="F46" s="75"/>
      <c r="G46" s="67"/>
      <c r="H46" s="73">
        <v>2</v>
      </c>
      <c r="I46" s="67">
        <f t="shared" ref="I46" si="19">H46*$E$51</f>
        <v>6962</v>
      </c>
      <c r="J46" s="65"/>
      <c r="K46" s="63"/>
      <c r="L46" s="91">
        <v>542250</v>
      </c>
      <c r="M46" s="63">
        <f>SUM(K46+I46+G46+E46+C46)</f>
        <v>507511.5</v>
      </c>
      <c r="N46" s="66">
        <f>(M46-L46)/L46</f>
        <v>-6.4063623789764865E-2</v>
      </c>
      <c r="O46" s="87">
        <f t="shared" si="6"/>
        <v>525982.5</v>
      </c>
      <c r="P46" s="67">
        <f>IF(O46=FALSE,M46,O46)</f>
        <v>525982.5</v>
      </c>
      <c r="Q46" s="68">
        <f>(P46-L46)/L46</f>
        <v>-0.03</v>
      </c>
    </row>
    <row r="47" spans="1:17" ht="18.75" x14ac:dyDescent="0.3">
      <c r="A47" s="76" t="s">
        <v>48</v>
      </c>
      <c r="B47" s="77">
        <f>SUM(B4:B46)</f>
        <v>17289.5</v>
      </c>
      <c r="C47" s="78">
        <f>SUM(C4:C46)</f>
        <v>39333612.5</v>
      </c>
      <c r="D47" s="77">
        <f>SUM(D4:D46)</f>
        <v>19070</v>
      </c>
      <c r="E47" s="78">
        <f>SUM(E4:E46)</f>
        <v>51050390</v>
      </c>
      <c r="F47" s="79">
        <f>SUM(F4:F41)</f>
        <v>8126.5</v>
      </c>
      <c r="G47" s="78">
        <f>SUM(G4:G41)</f>
        <v>25021493.5</v>
      </c>
      <c r="H47" s="77">
        <f>SUM(H4:H41)</f>
        <v>15635.5</v>
      </c>
      <c r="I47" s="78">
        <f>SUM(I4:I46)</f>
        <v>54427175.5</v>
      </c>
      <c r="J47" s="79">
        <f>SUM(J4:J41)</f>
        <v>160</v>
      </c>
      <c r="K47" s="78">
        <f>SUM(K4:K46)</f>
        <v>352625</v>
      </c>
      <c r="L47" s="93">
        <f>SUM(L4:L46)</f>
        <v>149735303</v>
      </c>
      <c r="M47" s="78">
        <f>SUM(K47+I47+G47+E47+C47)</f>
        <v>170185296.5</v>
      </c>
      <c r="N47" s="80">
        <f>(M47-L47)/L47</f>
        <v>0.136574295375086</v>
      </c>
      <c r="O47" s="88">
        <f>SUM(O4:O46)</f>
        <v>162907669.53000003</v>
      </c>
      <c r="P47" s="81">
        <f>SUM(P4:P46)</f>
        <v>162907669.53000003</v>
      </c>
      <c r="Q47" s="82">
        <f>(P47-L47)/L47</f>
        <v>8.7971014624387084E-2</v>
      </c>
    </row>
    <row r="48" spans="1:17" x14ac:dyDescent="0.25">
      <c r="A48" s="11"/>
      <c r="M48" s="13"/>
    </row>
    <row r="49" spans="1:16" x14ac:dyDescent="0.25">
      <c r="L49" s="15"/>
      <c r="P49" s="8">
        <v>177303919.68000001</v>
      </c>
    </row>
    <row r="50" spans="1:16" x14ac:dyDescent="0.25">
      <c r="A50" s="11" t="s">
        <v>55</v>
      </c>
      <c r="B50" s="9" t="s">
        <v>49</v>
      </c>
      <c r="C50" s="9" t="s">
        <v>50</v>
      </c>
      <c r="D50" s="9" t="s">
        <v>51</v>
      </c>
      <c r="E50" s="9" t="s">
        <v>52</v>
      </c>
      <c r="K50" s="11"/>
      <c r="N50" s="12"/>
      <c r="O50" s="9"/>
      <c r="P50" s="10" t="s">
        <v>59</v>
      </c>
    </row>
    <row r="51" spans="1:16" x14ac:dyDescent="0.25">
      <c r="A51" s="9">
        <v>402</v>
      </c>
      <c r="B51" s="12">
        <v>2275</v>
      </c>
      <c r="C51" s="12">
        <f>B51+A51</f>
        <v>2677</v>
      </c>
      <c r="D51" s="12">
        <f>C51+A51</f>
        <v>3079</v>
      </c>
      <c r="E51" s="12">
        <f>D51+A51</f>
        <v>3481</v>
      </c>
      <c r="L51" s="12"/>
      <c r="M51" s="12"/>
      <c r="N51" s="12"/>
    </row>
    <row r="52" spans="1:16" x14ac:dyDescent="0.25">
      <c r="N52" s="12"/>
      <c r="O52" s="9"/>
    </row>
    <row r="53" spans="1:16" x14ac:dyDescent="0.25">
      <c r="N53" s="12"/>
      <c r="O53" s="9"/>
    </row>
    <row r="54" spans="1:16" x14ac:dyDescent="0.25">
      <c r="N54" s="12"/>
      <c r="O54" s="9"/>
    </row>
    <row r="55" spans="1:16" x14ac:dyDescent="0.25">
      <c r="A55" s="9" t="s">
        <v>56</v>
      </c>
      <c r="B55" s="12">
        <f>P49-P47</f>
        <v>14396250.149999976</v>
      </c>
      <c r="L55" s="12"/>
      <c r="N55" s="12"/>
      <c r="O55" s="9"/>
    </row>
    <row r="56" spans="1:16" x14ac:dyDescent="0.25">
      <c r="B56" s="14"/>
      <c r="L56" s="14"/>
      <c r="N56" s="12"/>
      <c r="O56" s="9"/>
    </row>
    <row r="57" spans="1:16" x14ac:dyDescent="0.25">
      <c r="N57" s="12"/>
      <c r="O57" s="9"/>
    </row>
    <row r="58" spans="1:16" x14ac:dyDescent="0.25">
      <c r="A58" s="9" t="s">
        <v>53</v>
      </c>
      <c r="N58" s="12"/>
      <c r="O58" s="9"/>
    </row>
    <row r="59" spans="1:16" x14ac:dyDescent="0.25">
      <c r="B59" s="9" t="s">
        <v>49</v>
      </c>
      <c r="C59" s="9" t="s">
        <v>50</v>
      </c>
      <c r="D59" s="9" t="s">
        <v>51</v>
      </c>
      <c r="E59" s="9" t="s">
        <v>52</v>
      </c>
      <c r="N59" s="12"/>
      <c r="O59" s="9"/>
    </row>
    <row r="60" spans="1:16" x14ac:dyDescent="0.25">
      <c r="A60" s="9">
        <v>399</v>
      </c>
      <c r="B60" s="12">
        <v>2250</v>
      </c>
      <c r="C60" s="12">
        <v>2649</v>
      </c>
      <c r="D60" s="12">
        <v>3048</v>
      </c>
      <c r="E60" s="12">
        <v>3447</v>
      </c>
      <c r="L60" s="12"/>
      <c r="M60" s="12"/>
      <c r="N60" s="12"/>
    </row>
    <row r="61" spans="1:16" x14ac:dyDescent="0.25">
      <c r="N61" s="12"/>
      <c r="O61" s="9"/>
    </row>
  </sheetData>
  <pageMargins left="0.25" right="0.25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change in total FTE</vt:lpstr>
      <vt:lpstr>20-21 UG Grant -5+10 R1 2%</vt:lpstr>
      <vt:lpstr>20-21 UG Grant -3+10 R1 2%</vt:lpstr>
      <vt:lpstr>20-21 UG Grant -1+15 R1 2%</vt:lpstr>
      <vt:lpstr>20-21 UG Grant -5+10 R1 5%</vt:lpstr>
      <vt:lpstr>20-21 UG Grant -3+10 R1 5%</vt:lpstr>
      <vt:lpstr>20-21 UG Grant -1+10 R1 5%</vt:lpstr>
      <vt:lpstr>20-21 UG Grant -5+12 R1 7%</vt:lpstr>
      <vt:lpstr>20-21 UG Grant -3+12 R1 7%</vt:lpstr>
      <vt:lpstr>20-21 UG Grant -1+12 R1 7%</vt:lpstr>
      <vt:lpstr>'20-21 UG Grant -1+10 R1 5%'!Print_Area</vt:lpstr>
      <vt:lpstr>'20-21 UG Grant -1+12 R1 7%'!Print_Area</vt:lpstr>
      <vt:lpstr>'20-21 UG Grant -1+15 R1 2%'!Print_Area</vt:lpstr>
      <vt:lpstr>'20-21 UG Grant -3+10 R1 2%'!Print_Area</vt:lpstr>
      <vt:lpstr>'20-21 UG Grant -3+10 R1 5%'!Print_Area</vt:lpstr>
      <vt:lpstr>'20-21 UG Grant -3+12 R1 7%'!Print_Area</vt:lpstr>
      <vt:lpstr>'20-21 UG Grant -5+10 R1 2%'!Print_Area</vt:lpstr>
      <vt:lpstr>'20-21 UG Grant -5+10 R1 5%'!Print_Area</vt:lpstr>
      <vt:lpstr>'20-21 UG Grant -5+12 R1 7%'!Print_Area</vt:lpstr>
      <vt:lpstr>'change in total FTE'!Print_Area</vt:lpstr>
      <vt:lpstr>'change in total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Burns, Emily</dc:creator>
  <cp:lastModifiedBy>Jason Schrock</cp:lastModifiedBy>
  <cp:lastPrinted>2020-02-27T18:00:57Z</cp:lastPrinted>
  <dcterms:created xsi:type="dcterms:W3CDTF">2019-02-18T17:49:43Z</dcterms:created>
  <dcterms:modified xsi:type="dcterms:W3CDTF">2020-02-27T19:37:16Z</dcterms:modified>
</cp:coreProperties>
</file>