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udget Services Team\Budget\Budget\Budget 25-26\1_August 1 Materials\R1 - Operating and Fin Aid Increase\"/>
    </mc:Choice>
  </mc:AlternateContent>
  <xr:revisionPtr revIDLastSave="0" documentId="8_{2C7C5556-47B4-405D-ACC7-D98C875DC887}" xr6:coauthVersionLast="47" xr6:coauthVersionMax="47" xr10:uidLastSave="{00000000-0000-0000-0000-000000000000}"/>
  <bookViews>
    <workbookView xWindow="-108" yWindow="-108" windowWidth="23256" windowHeight="12456" xr2:uid="{119B3864-9755-4CBA-9D73-8BD91DD03248}"/>
  </bookViews>
  <sheets>
    <sheet name="Operational Increases" sheetId="1" r:id="rId1"/>
    <sheet name="Supporting Data" sheetId="2" r:id="rId2"/>
    <sheet name="Salary + Benefits Data" sheetId="4" r:id="rId3"/>
  </sheets>
  <definedNames>
    <definedName name="_1Enrollment_Table">#REF!</definedName>
    <definedName name="_NewE_Enrollment_Table">#REF!</definedName>
    <definedName name="_xlnm.Database">#REF!</definedName>
    <definedName name="_xlnm.Print_Area" localSheetId="0">'Operational Increases'!$A$3:$T$24</definedName>
    <definedName name="QRY_FTE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2" i="4"/>
  <c r="N32" i="4"/>
  <c r="N31" i="4"/>
  <c r="U32" i="4"/>
  <c r="U31" i="4"/>
  <c r="F32" i="4"/>
  <c r="F31" i="4"/>
  <c r="F33" i="4" l="1"/>
  <c r="C33" i="4"/>
  <c r="D33" i="4"/>
  <c r="E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B33" i="4"/>
  <c r="W21" i="4" l="1"/>
  <c r="X21" i="4"/>
  <c r="Y21" i="4"/>
  <c r="Z21" i="4"/>
  <c r="AA21" i="4"/>
  <c r="AB21" i="4"/>
  <c r="AC21" i="4"/>
  <c r="AD21" i="4"/>
  <c r="AE21" i="4"/>
  <c r="AF21" i="4"/>
  <c r="AG21" i="4"/>
  <c r="AH21" i="4"/>
  <c r="AI21" i="4"/>
  <c r="W22" i="4"/>
  <c r="X22" i="4"/>
  <c r="Y22" i="4"/>
  <c r="Z22" i="4"/>
  <c r="AA22" i="4"/>
  <c r="AB22" i="4"/>
  <c r="AC22" i="4"/>
  <c r="AD22" i="4"/>
  <c r="AE22" i="4"/>
  <c r="AF22" i="4"/>
  <c r="AF24" i="4" s="1"/>
  <c r="AG22" i="4"/>
  <c r="AH22" i="4"/>
  <c r="AI22" i="4"/>
  <c r="W25" i="4"/>
  <c r="X25" i="4"/>
  <c r="X28" i="4" s="1"/>
  <c r="Y25" i="4"/>
  <c r="Z25" i="4"/>
  <c r="AA25" i="4"/>
  <c r="AB25" i="4"/>
  <c r="AC25" i="4"/>
  <c r="AD25" i="4"/>
  <c r="AE25" i="4"/>
  <c r="AF25" i="4"/>
  <c r="AF28" i="4" s="1"/>
  <c r="AG25" i="4"/>
  <c r="AH25" i="4"/>
  <c r="AI25" i="4"/>
  <c r="AI29" i="4" s="1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W27" i="4"/>
  <c r="X27" i="4"/>
  <c r="Y27" i="4"/>
  <c r="Z27" i="4"/>
  <c r="AA27" i="4"/>
  <c r="AB27" i="4"/>
  <c r="AC27" i="4"/>
  <c r="AC29" i="4" s="1"/>
  <c r="AD27" i="4"/>
  <c r="AD29" i="4" s="1"/>
  <c r="AE27" i="4"/>
  <c r="AF27" i="4"/>
  <c r="AG27" i="4"/>
  <c r="AH27" i="4"/>
  <c r="AI27" i="4"/>
  <c r="W20" i="4"/>
  <c r="X20" i="4"/>
  <c r="X23" i="4" s="1"/>
  <c r="Y20" i="4"/>
  <c r="Y23" i="4" s="1"/>
  <c r="Z20" i="4"/>
  <c r="AA20" i="4"/>
  <c r="AA24" i="4" s="1"/>
  <c r="AB20" i="4"/>
  <c r="AC20" i="4"/>
  <c r="AD20" i="4"/>
  <c r="AE20" i="4"/>
  <c r="AF20" i="4"/>
  <c r="AF23" i="4" s="1"/>
  <c r="AG20" i="4"/>
  <c r="AG23" i="4" s="1"/>
  <c r="AH20" i="4"/>
  <c r="AI20" i="4"/>
  <c r="AC23" i="4" l="1"/>
  <c r="AH29" i="4"/>
  <c r="W28" i="4"/>
  <c r="AB29" i="4"/>
  <c r="AE28" i="4"/>
  <c r="AI23" i="4"/>
  <c r="AA28" i="4"/>
  <c r="AA23" i="4"/>
  <c r="X24" i="4"/>
  <c r="W24" i="4"/>
  <c r="Y28" i="4"/>
  <c r="AB23" i="4"/>
  <c r="Y29" i="4"/>
  <c r="AA29" i="4"/>
  <c r="AF29" i="4"/>
  <c r="X29" i="4"/>
  <c r="Z29" i="4"/>
  <c r="AD23" i="4"/>
  <c r="AG24" i="4"/>
  <c r="AE29" i="4"/>
  <c r="W29" i="4"/>
  <c r="AE24" i="4"/>
  <c r="AI28" i="4"/>
  <c r="AD24" i="4"/>
  <c r="AC24" i="4"/>
  <c r="AH23" i="4"/>
  <c r="Z23" i="4"/>
  <c r="Y24" i="4"/>
  <c r="AB24" i="4"/>
  <c r="AI24" i="4"/>
  <c r="AH24" i="4"/>
  <c r="Z24" i="4"/>
  <c r="W23" i="4"/>
  <c r="AG28" i="4"/>
  <c r="AG29" i="4"/>
  <c r="AE23" i="4"/>
  <c r="AD28" i="4"/>
  <c r="AC28" i="4"/>
  <c r="AB28" i="4"/>
  <c r="AH28" i="4"/>
  <c r="Z28" i="4"/>
  <c r="F3" i="4" l="1"/>
  <c r="U2" i="4" l="1"/>
  <c r="D14" i="1" l="1"/>
  <c r="D13" i="1"/>
  <c r="D12" i="1"/>
  <c r="D11" i="1"/>
  <c r="D10" i="1"/>
  <c r="D9" i="1"/>
  <c r="D8" i="1"/>
  <c r="D7" i="1"/>
  <c r="D6" i="1"/>
  <c r="D5" i="1"/>
  <c r="C14" i="1"/>
  <c r="C13" i="1"/>
  <c r="C12" i="1"/>
  <c r="C11" i="1"/>
  <c r="C10" i="1"/>
  <c r="C9" i="1"/>
  <c r="C8" i="1"/>
  <c r="C7" i="1"/>
  <c r="C6" i="1"/>
  <c r="C5" i="1"/>
  <c r="B14" i="1"/>
  <c r="B13" i="1"/>
  <c r="B12" i="1"/>
  <c r="B11" i="1"/>
  <c r="B10" i="1"/>
  <c r="B9" i="1"/>
  <c r="B8" i="1"/>
  <c r="B7" i="1"/>
  <c r="B6" i="1"/>
  <c r="B5" i="1"/>
  <c r="C27" i="2" l="1"/>
  <c r="C26" i="2"/>
  <c r="C25" i="2"/>
  <c r="C24" i="2"/>
  <c r="C23" i="2"/>
  <c r="C22" i="2"/>
  <c r="C21" i="2"/>
  <c r="C20" i="2"/>
  <c r="C19" i="2"/>
  <c r="C18" i="2"/>
  <c r="B27" i="2"/>
  <c r="B26" i="2"/>
  <c r="B25" i="2"/>
  <c r="B24" i="2"/>
  <c r="B23" i="2"/>
  <c r="B22" i="2"/>
  <c r="B21" i="2"/>
  <c r="B20" i="2"/>
  <c r="B19" i="2"/>
  <c r="B18" i="2"/>
  <c r="D19" i="2"/>
  <c r="E4" i="2"/>
  <c r="V20" i="4"/>
  <c r="V21" i="4"/>
  <c r="V22" i="4"/>
  <c r="V25" i="4"/>
  <c r="V26" i="4"/>
  <c r="V27" i="4"/>
  <c r="V29" i="4" s="1"/>
  <c r="V24" i="4" l="1"/>
  <c r="V23" i="4"/>
  <c r="D23" i="2"/>
  <c r="D26" i="2"/>
  <c r="E13" i="1"/>
  <c r="D18" i="2"/>
  <c r="D24" i="2"/>
  <c r="E14" i="1"/>
  <c r="D25" i="2"/>
  <c r="E12" i="1"/>
  <c r="E11" i="1"/>
  <c r="E10" i="1"/>
  <c r="D22" i="2"/>
  <c r="E9" i="1"/>
  <c r="E8" i="1"/>
  <c r="E6" i="1"/>
  <c r="D27" i="2"/>
  <c r="D21" i="2"/>
  <c r="D20" i="2"/>
  <c r="E7" i="1"/>
  <c r="E5" i="1"/>
  <c r="V28" i="4"/>
  <c r="O20" i="4" l="1"/>
  <c r="P20" i="4"/>
  <c r="Q20" i="4"/>
  <c r="R20" i="4"/>
  <c r="O21" i="4"/>
  <c r="P21" i="4"/>
  <c r="P23" i="4" s="1"/>
  <c r="Q21" i="4"/>
  <c r="Q23" i="4" s="1"/>
  <c r="R21" i="4"/>
  <c r="O22" i="4"/>
  <c r="O24" i="4" s="1"/>
  <c r="P22" i="4"/>
  <c r="P24" i="4" s="1"/>
  <c r="Q22" i="4"/>
  <c r="Q24" i="4" s="1"/>
  <c r="R22" i="4"/>
  <c r="R24" i="4"/>
  <c r="O25" i="4"/>
  <c r="P25" i="4"/>
  <c r="Q25" i="4"/>
  <c r="R25" i="4"/>
  <c r="O26" i="4"/>
  <c r="P26" i="4"/>
  <c r="Q26" i="4"/>
  <c r="R26" i="4"/>
  <c r="O27" i="4"/>
  <c r="O29" i="4" s="1"/>
  <c r="P27" i="4"/>
  <c r="P29" i="4" s="1"/>
  <c r="Q27" i="4"/>
  <c r="Q29" i="4" s="1"/>
  <c r="R27" i="4"/>
  <c r="R29" i="4" s="1"/>
  <c r="F18" i="4"/>
  <c r="F16" i="4"/>
  <c r="F14" i="4"/>
  <c r="F13" i="4"/>
  <c r="F26" i="4" s="1"/>
  <c r="F12" i="4"/>
  <c r="F21" i="4" s="1"/>
  <c r="F11" i="4"/>
  <c r="F4" i="4"/>
  <c r="F5" i="4"/>
  <c r="F6" i="4"/>
  <c r="F7" i="4"/>
  <c r="F8" i="4"/>
  <c r="F9" i="4"/>
  <c r="J20" i="4"/>
  <c r="K20" i="4"/>
  <c r="L20" i="4"/>
  <c r="J21" i="4"/>
  <c r="K21" i="4"/>
  <c r="L21" i="4"/>
  <c r="J22" i="4"/>
  <c r="K22" i="4"/>
  <c r="L22" i="4"/>
  <c r="J25" i="4"/>
  <c r="K25" i="4"/>
  <c r="L25" i="4"/>
  <c r="J26" i="4"/>
  <c r="K26" i="4"/>
  <c r="L26" i="4"/>
  <c r="J27" i="4"/>
  <c r="K27" i="4"/>
  <c r="L27" i="4"/>
  <c r="G20" i="4"/>
  <c r="H20" i="4"/>
  <c r="I20" i="4"/>
  <c r="G21" i="4"/>
  <c r="H21" i="4"/>
  <c r="I21" i="4"/>
  <c r="G22" i="4"/>
  <c r="H22" i="4"/>
  <c r="I22" i="4"/>
  <c r="G25" i="4"/>
  <c r="H25" i="4"/>
  <c r="I25" i="4"/>
  <c r="G26" i="4"/>
  <c r="H26" i="4"/>
  <c r="I26" i="4"/>
  <c r="G27" i="4"/>
  <c r="H27" i="4"/>
  <c r="I27" i="4"/>
  <c r="N2" i="4"/>
  <c r="N18" i="4"/>
  <c r="N17" i="4"/>
  <c r="N16" i="4"/>
  <c r="N15" i="4"/>
  <c r="N14" i="4"/>
  <c r="N13" i="4"/>
  <c r="N26" i="4" s="1"/>
  <c r="N12" i="4"/>
  <c r="N21" i="4" s="1"/>
  <c r="N11" i="4"/>
  <c r="N9" i="4"/>
  <c r="N8" i="4"/>
  <c r="N7" i="4"/>
  <c r="N6" i="4"/>
  <c r="N5" i="4"/>
  <c r="N4" i="4"/>
  <c r="N3" i="4"/>
  <c r="U18" i="4"/>
  <c r="U16" i="4"/>
  <c r="U14" i="4"/>
  <c r="U13" i="4"/>
  <c r="U26" i="4" s="1"/>
  <c r="U12" i="4"/>
  <c r="U21" i="4" s="1"/>
  <c r="U11" i="4"/>
  <c r="U9" i="4"/>
  <c r="U8" i="4"/>
  <c r="U7" i="4"/>
  <c r="U6" i="4"/>
  <c r="U5" i="4"/>
  <c r="U4" i="4"/>
  <c r="U3" i="4"/>
  <c r="Q28" i="4" l="1"/>
  <c r="F22" i="4"/>
  <c r="I29" i="4"/>
  <c r="O23" i="4"/>
  <c r="K23" i="4"/>
  <c r="F25" i="4"/>
  <c r="F28" i="4" s="1"/>
  <c r="R23" i="4"/>
  <c r="F20" i="4"/>
  <c r="K29" i="4"/>
  <c r="L24" i="4"/>
  <c r="J29" i="4"/>
  <c r="K24" i="4"/>
  <c r="L28" i="4"/>
  <c r="J24" i="4"/>
  <c r="K28" i="4"/>
  <c r="L23" i="4"/>
  <c r="F27" i="4"/>
  <c r="P28" i="4"/>
  <c r="R28" i="4"/>
  <c r="O28" i="4"/>
  <c r="L29" i="4"/>
  <c r="J28" i="4"/>
  <c r="J23" i="4"/>
  <c r="H24" i="4"/>
  <c r="I23" i="4"/>
  <c r="H23" i="4"/>
  <c r="G29" i="4"/>
  <c r="G28" i="4"/>
  <c r="I24" i="4"/>
  <c r="H28" i="4"/>
  <c r="G24" i="4"/>
  <c r="G23" i="4"/>
  <c r="H29" i="4"/>
  <c r="I28" i="4"/>
  <c r="N27" i="4"/>
  <c r="U22" i="4"/>
  <c r="U20" i="4"/>
  <c r="N20" i="4"/>
  <c r="N25" i="4"/>
  <c r="C38" i="2" s="1"/>
  <c r="N22" i="4"/>
  <c r="U27" i="4"/>
  <c r="U25" i="4"/>
  <c r="C41" i="2" s="1"/>
  <c r="T27" i="4"/>
  <c r="S27" i="4"/>
  <c r="M27" i="4"/>
  <c r="E27" i="4"/>
  <c r="D27" i="4"/>
  <c r="C27" i="4"/>
  <c r="B27" i="4"/>
  <c r="T26" i="4"/>
  <c r="S26" i="4"/>
  <c r="M26" i="4"/>
  <c r="E26" i="4"/>
  <c r="D26" i="4"/>
  <c r="C26" i="4"/>
  <c r="B26" i="4"/>
  <c r="T25" i="4"/>
  <c r="C40" i="2" s="1"/>
  <c r="S25" i="4"/>
  <c r="C39" i="2" s="1"/>
  <c r="M25" i="4"/>
  <c r="C37" i="2" s="1"/>
  <c r="E25" i="4"/>
  <c r="C35" i="2" s="1"/>
  <c r="D25" i="4"/>
  <c r="C34" i="2" s="1"/>
  <c r="C25" i="4"/>
  <c r="C33" i="2" s="1"/>
  <c r="B25" i="4"/>
  <c r="C32" i="2" s="1"/>
  <c r="T22" i="4"/>
  <c r="S22" i="4"/>
  <c r="M22" i="4"/>
  <c r="E22" i="4"/>
  <c r="D22" i="4"/>
  <c r="C22" i="4"/>
  <c r="B22" i="4"/>
  <c r="T21" i="4"/>
  <c r="S21" i="4"/>
  <c r="M21" i="4"/>
  <c r="E21" i="4"/>
  <c r="D21" i="4"/>
  <c r="C21" i="4"/>
  <c r="B21" i="4"/>
  <c r="T20" i="4"/>
  <c r="B40" i="2" s="1"/>
  <c r="D40" i="2" s="1"/>
  <c r="S20" i="4"/>
  <c r="B39" i="2" s="1"/>
  <c r="D39" i="2" s="1"/>
  <c r="M20" i="4"/>
  <c r="B37" i="2" s="1"/>
  <c r="D37" i="2" s="1"/>
  <c r="E20" i="4"/>
  <c r="B35" i="2" s="1"/>
  <c r="D20" i="4"/>
  <c r="B34" i="2" s="1"/>
  <c r="C20" i="4"/>
  <c r="B33" i="2" s="1"/>
  <c r="B20" i="4"/>
  <c r="B32" i="2" s="1"/>
  <c r="D35" i="2" l="1"/>
  <c r="D32" i="2"/>
  <c r="D33" i="2"/>
  <c r="D34" i="2"/>
  <c r="F29" i="4"/>
  <c r="C36" i="2"/>
  <c r="N23" i="4"/>
  <c r="B38" i="2"/>
  <c r="D38" i="2" s="1"/>
  <c r="F23" i="4"/>
  <c r="B36" i="2"/>
  <c r="F24" i="4"/>
  <c r="F32" i="2"/>
  <c r="U23" i="4"/>
  <c r="B41" i="2"/>
  <c r="D41" i="2" s="1"/>
  <c r="N24" i="4"/>
  <c r="N29" i="4"/>
  <c r="U24" i="4"/>
  <c r="B29" i="4"/>
  <c r="C24" i="4"/>
  <c r="D24" i="4"/>
  <c r="S29" i="4"/>
  <c r="U29" i="4"/>
  <c r="N28" i="4"/>
  <c r="C29" i="4"/>
  <c r="T29" i="4"/>
  <c r="M28" i="4"/>
  <c r="D28" i="4"/>
  <c r="C28" i="4"/>
  <c r="M23" i="4"/>
  <c r="E28" i="4"/>
  <c r="T28" i="4"/>
  <c r="D29" i="4"/>
  <c r="M24" i="4"/>
  <c r="S28" i="4"/>
  <c r="S23" i="4"/>
  <c r="B28" i="4"/>
  <c r="B23" i="4"/>
  <c r="T23" i="4"/>
  <c r="S24" i="4"/>
  <c r="C23" i="4"/>
  <c r="B24" i="4"/>
  <c r="T24" i="4"/>
  <c r="E24" i="4"/>
  <c r="D23" i="4"/>
  <c r="E23" i="4"/>
  <c r="E29" i="4"/>
  <c r="M29" i="4"/>
  <c r="U28" i="4"/>
  <c r="D36" i="2" l="1"/>
  <c r="E5" i="2"/>
  <c r="E6" i="2"/>
  <c r="E7" i="2"/>
  <c r="E8" i="2"/>
  <c r="E9" i="2"/>
  <c r="E10" i="2"/>
  <c r="E11" i="2"/>
  <c r="E12" i="2"/>
  <c r="E13" i="2"/>
  <c r="H33" i="2" l="1"/>
  <c r="P6" i="1" s="1"/>
  <c r="G40" i="2"/>
  <c r="L13" i="1" s="1"/>
  <c r="G39" i="2"/>
  <c r="L12" i="1" s="1"/>
  <c r="H41" i="2"/>
  <c r="P14" i="1" s="1"/>
  <c r="H38" i="2"/>
  <c r="P11" i="1" s="1"/>
  <c r="H37" i="2"/>
  <c r="P10" i="1" s="1"/>
  <c r="H36" i="2"/>
  <c r="P9" i="1" s="1"/>
  <c r="H35" i="2"/>
  <c r="P8" i="1" s="1"/>
  <c r="F34" i="2"/>
  <c r="H7" i="1" s="1"/>
  <c r="H40" i="2"/>
  <c r="P13" i="1" s="1"/>
  <c r="G37" i="2"/>
  <c r="L10" i="1" s="1"/>
  <c r="F37" i="2"/>
  <c r="H10" i="1" s="1"/>
  <c r="F33" i="2"/>
  <c r="H6" i="1" s="1"/>
  <c r="H32" i="2"/>
  <c r="P5" i="1" s="1"/>
  <c r="G32" i="2"/>
  <c r="L5" i="1" s="1"/>
  <c r="H5" i="1"/>
  <c r="I5" i="1" s="1"/>
  <c r="J5" i="1" s="1"/>
  <c r="F38" i="2" l="1"/>
  <c r="H11" i="1" s="1"/>
  <c r="F35" i="2"/>
  <c r="H8" i="1" s="1"/>
  <c r="G41" i="2"/>
  <c r="L14" i="1" s="1"/>
  <c r="H34" i="2"/>
  <c r="P7" i="1" s="1"/>
  <c r="G35" i="2"/>
  <c r="L8" i="1" s="1"/>
  <c r="G34" i="2"/>
  <c r="L7" i="1" s="1"/>
  <c r="F41" i="2"/>
  <c r="H14" i="1" s="1"/>
  <c r="I14" i="1" s="1"/>
  <c r="J14" i="1" s="1"/>
  <c r="G33" i="2"/>
  <c r="L6" i="1" s="1"/>
  <c r="H39" i="2"/>
  <c r="P12" i="1" s="1"/>
  <c r="G38" i="2"/>
  <c r="L11" i="1" s="1"/>
  <c r="G36" i="2"/>
  <c r="L9" i="1" s="1"/>
  <c r="F40" i="2"/>
  <c r="H13" i="1" s="1"/>
  <c r="F39" i="2"/>
  <c r="H12" i="1" s="1"/>
  <c r="F36" i="2"/>
  <c r="H9" i="1" s="1"/>
  <c r="D15" i="1" l="1"/>
  <c r="C15" i="1"/>
  <c r="B15" i="1"/>
  <c r="M10" i="1" l="1"/>
  <c r="N10" i="1" s="1"/>
  <c r="Q7" i="1"/>
  <c r="R7" i="1" s="1"/>
  <c r="M6" i="1"/>
  <c r="N6" i="1" s="1"/>
  <c r="Q6" i="1"/>
  <c r="R6" i="1" s="1"/>
  <c r="M14" i="1"/>
  <c r="N14" i="1" s="1"/>
  <c r="Q14" i="1"/>
  <c r="R14" i="1" s="1"/>
  <c r="E15" i="1"/>
  <c r="I7" i="1"/>
  <c r="J7" i="1" s="1"/>
  <c r="M7" i="1"/>
  <c r="N7" i="1" s="1"/>
  <c r="I13" i="1"/>
  <c r="J13" i="1" s="1"/>
  <c r="M13" i="1"/>
  <c r="N13" i="1" s="1"/>
  <c r="Q13" i="1"/>
  <c r="R13" i="1" s="1"/>
  <c r="Q9" i="1"/>
  <c r="R9" i="1" s="1"/>
  <c r="M9" i="1"/>
  <c r="N9" i="1" s="1"/>
  <c r="I9" i="1"/>
  <c r="J9" i="1" s="1"/>
  <c r="I8" i="1"/>
  <c r="J8" i="1" s="1"/>
  <c r="Q8" i="1"/>
  <c r="R8" i="1" s="1"/>
  <c r="M8" i="1"/>
  <c r="N8" i="1" s="1"/>
  <c r="Q11" i="1"/>
  <c r="R11" i="1" s="1"/>
  <c r="I11" i="1"/>
  <c r="J11" i="1" s="1"/>
  <c r="M11" i="1"/>
  <c r="N11" i="1" s="1"/>
  <c r="Q12" i="1"/>
  <c r="R12" i="1" s="1"/>
  <c r="M12" i="1"/>
  <c r="N12" i="1" s="1"/>
  <c r="I12" i="1"/>
  <c r="J12" i="1" s="1"/>
  <c r="I10" i="1"/>
  <c r="J10" i="1" s="1"/>
  <c r="I6" i="1"/>
  <c r="J6" i="1" s="1"/>
  <c r="Q10" i="1"/>
  <c r="R10" i="1" s="1"/>
  <c r="M5" i="1" l="1"/>
  <c r="N5" i="1" s="1"/>
  <c r="T14" i="1"/>
  <c r="T12" i="1"/>
  <c r="T6" i="1"/>
  <c r="T13" i="1"/>
  <c r="T7" i="1"/>
  <c r="T10" i="1"/>
  <c r="T9" i="1"/>
  <c r="T11" i="1"/>
  <c r="T8" i="1"/>
  <c r="F15" i="1"/>
  <c r="Q5" i="1"/>
  <c r="R5" i="1" s="1"/>
  <c r="I15" i="1" l="1"/>
  <c r="J15" i="1" s="1"/>
  <c r="Q15" i="1"/>
  <c r="R15" i="1" s="1"/>
  <c r="M15" i="1"/>
  <c r="N15" i="1" s="1"/>
  <c r="T5" i="1" l="1"/>
  <c r="T15" i="1" l="1"/>
</calcChain>
</file>

<file path=xl/sharedStrings.xml><?xml version="1.0" encoding="utf-8"?>
<sst xmlns="http://schemas.openxmlformats.org/spreadsheetml/2006/main" count="162" uniqueCount="126">
  <si>
    <t>HLD Benefits</t>
  </si>
  <si>
    <t>Other Expenses</t>
  </si>
  <si>
    <t>Resident Tuition</t>
  </si>
  <si>
    <t>Nonresident Tuition</t>
  </si>
  <si>
    <t>Total Tuition</t>
  </si>
  <si>
    <t>Total</t>
  </si>
  <si>
    <t xml:space="preserve">Notes: </t>
  </si>
  <si>
    <t>Adams State University</t>
  </si>
  <si>
    <t>Colorado Mesa University</t>
  </si>
  <si>
    <t>Metropolitan State University - Denver</t>
  </si>
  <si>
    <t>Western Colorado University</t>
  </si>
  <si>
    <t>Colorado State University System</t>
  </si>
  <si>
    <t>Fort Lewis College</t>
  </si>
  <si>
    <t>University of Colorado System</t>
  </si>
  <si>
    <t>Colorado School of Mines</t>
  </si>
  <si>
    <t>University of Northern Colorado</t>
  </si>
  <si>
    <t>Colorado Community College System</t>
  </si>
  <si>
    <t>FFS (excl LP FFS)</t>
  </si>
  <si>
    <t>Governing Board</t>
  </si>
  <si>
    <t>SEP</t>
  </si>
  <si>
    <t>`</t>
  </si>
  <si>
    <t>% Salaries</t>
  </si>
  <si>
    <t>% Benefits</t>
  </si>
  <si>
    <t>% Other</t>
  </si>
  <si>
    <t>Source: FY 24-25 LB</t>
  </si>
  <si>
    <t>Source: BDBs Submitted Fall 2023, FY23-24 Estimates</t>
  </si>
  <si>
    <t>Adams</t>
  </si>
  <si>
    <t>Mesa</t>
  </si>
  <si>
    <t>Metro</t>
  </si>
  <si>
    <t>Western</t>
  </si>
  <si>
    <t>FLC</t>
  </si>
  <si>
    <t>Anschutz</t>
  </si>
  <si>
    <t>UCB</t>
  </si>
  <si>
    <t>Denver</t>
  </si>
  <si>
    <t>UCCS</t>
  </si>
  <si>
    <t>Mines</t>
  </si>
  <si>
    <t>UNC</t>
  </si>
  <si>
    <t>CCCS</t>
  </si>
  <si>
    <t>ACC</t>
  </si>
  <si>
    <t>CCA</t>
  </si>
  <si>
    <t>CCD</t>
  </si>
  <si>
    <t>CNCC</t>
  </si>
  <si>
    <t>FRCC</t>
  </si>
  <si>
    <t>LCC</t>
  </si>
  <si>
    <t>MCC</t>
  </si>
  <si>
    <t>NJC</t>
  </si>
  <si>
    <t>OC</t>
  </si>
  <si>
    <t>PCC</t>
  </si>
  <si>
    <t>PPCC</t>
  </si>
  <si>
    <t>RRCC</t>
  </si>
  <si>
    <t>TSC</t>
  </si>
  <si>
    <t>Salaries, Full-Time Faculty Non-Classified</t>
  </si>
  <si>
    <t>Benefits, Full-time Faculty Non-Classified</t>
  </si>
  <si>
    <t>Salaries, Part-Time Faculty Non-Classified</t>
  </si>
  <si>
    <t>Benefits, Part-Time Faculty, Non-Classified</t>
  </si>
  <si>
    <t>Subtotal, Faculty</t>
  </si>
  <si>
    <t>Salaries, Other, Non-Classified</t>
  </si>
  <si>
    <t>Benefits, Other, Non-Classified</t>
  </si>
  <si>
    <t xml:space="preserve">  Subtotal Non-Classified Staff</t>
  </si>
  <si>
    <t>Compensation, Support Assistants</t>
  </si>
  <si>
    <t>Salaries, Classified Staff</t>
  </si>
  <si>
    <t>Benefits, Classified Staff</t>
  </si>
  <si>
    <t xml:space="preserve">  Subtotal Support Staff</t>
  </si>
  <si>
    <t>Total Personnel</t>
  </si>
  <si>
    <t>Hourly Compensation</t>
  </si>
  <si>
    <t>Salary Total</t>
  </si>
  <si>
    <t>Salary Classified</t>
  </si>
  <si>
    <t>Salary Non-Classified</t>
  </si>
  <si>
    <t>% Salary Classified</t>
  </si>
  <si>
    <t>% Salary Non-Classified</t>
  </si>
  <si>
    <t>Benefits Total</t>
  </si>
  <si>
    <t>Benefits Classified</t>
  </si>
  <si>
    <t>Benefits Non-Classified</t>
  </si>
  <si>
    <t>% Benefits Classified</t>
  </si>
  <si>
    <t>% Benefits Non-Classified</t>
  </si>
  <si>
    <t>CCCS Total</t>
  </si>
  <si>
    <t>CU System</t>
  </si>
  <si>
    <t>CSU System</t>
  </si>
  <si>
    <t>CSU FC</t>
  </si>
  <si>
    <t>CSU Pueblo</t>
  </si>
  <si>
    <t>CSU Vet</t>
  </si>
  <si>
    <t>CSU AES</t>
  </si>
  <si>
    <t>CSU Extension</t>
  </si>
  <si>
    <t>CSU Forestry</t>
  </si>
  <si>
    <t>FY23 Budget Data Books Revised from Fiftwo</t>
  </si>
  <si>
    <t>COF Stipend</t>
  </si>
  <si>
    <t xml:space="preserve">Total Non-Resident </t>
  </si>
  <si>
    <t>Total Resident</t>
  </si>
  <si>
    <t>Ungerdradute and Graduation Tuition Revenue</t>
  </si>
  <si>
    <t>Education and General Expenditures</t>
  </si>
  <si>
    <t>Salaries</t>
  </si>
  <si>
    <t>Benefits</t>
  </si>
  <si>
    <t>Other (excl Transfers)</t>
  </si>
  <si>
    <t>Source: FY24-25 Long Bill Tuition Revenue Assumptions; Split provided by Joint Budget Committee Staff.</t>
  </si>
  <si>
    <t>State Appropriations</t>
  </si>
  <si>
    <t>Salary</t>
  </si>
  <si>
    <t>From FY25 Long Bill</t>
  </si>
  <si>
    <r>
      <t xml:space="preserve">Salaries (Total) </t>
    </r>
    <r>
      <rPr>
        <b/>
        <vertAlign val="superscript"/>
        <sz val="11"/>
        <color theme="1"/>
        <rFont val="Aptos"/>
        <family val="2"/>
      </rPr>
      <t>1</t>
    </r>
  </si>
  <si>
    <r>
      <t xml:space="preserve">HLD Benefits </t>
    </r>
    <r>
      <rPr>
        <b/>
        <vertAlign val="superscript"/>
        <sz val="11"/>
        <color theme="1"/>
        <rFont val="Aptos"/>
        <family val="2"/>
      </rPr>
      <t>2</t>
    </r>
  </si>
  <si>
    <r>
      <t xml:space="preserve">Other Expenses </t>
    </r>
    <r>
      <rPr>
        <b/>
        <vertAlign val="superscript"/>
        <sz val="11"/>
        <color theme="1"/>
        <rFont val="Aptos"/>
        <family val="2"/>
      </rPr>
      <t>3</t>
    </r>
  </si>
  <si>
    <t>1 - Salary increase aligned with state salary increase included in FY25 Long Bill. This may change to align with the Governor's request if different.</t>
  </si>
  <si>
    <t>2 - HLD increase of 5% aligns with the National Health Expenditures Average Growth Rate for National Health Expenditures (Table 16). This may change to align with the Governor's request if different.</t>
  </si>
  <si>
    <t>4 - Resident and Nonresident Tuition is based on the FY25 Long Bill Tuition Revenue Assumptions.</t>
  </si>
  <si>
    <t>Sources:</t>
  </si>
  <si>
    <t>HB24-1430 Long Bill - https://leg.colorado.gov/sites/default/files/documents/2024A/bills/2024a_hed_act.pdf</t>
  </si>
  <si>
    <t>Centers for Medicare and Medicaid Services - https://www.cms.gov/data-research/statistics-trends-and-reports/national-health-expenditure-data/projected</t>
  </si>
  <si>
    <t>Office of State Planning and Budgeting June 2024 Forecast Document pg 87 - https://drive.google.com/drive/folders/1NDTRYCRozP5IBatXrxdJnZ6j_xAyJZ3G</t>
  </si>
  <si>
    <t>FY25 State Funding</t>
  </si>
  <si>
    <r>
      <t xml:space="preserve">Total Tuition </t>
    </r>
    <r>
      <rPr>
        <b/>
        <vertAlign val="superscript"/>
        <sz val="11"/>
        <rFont val="Aptos"/>
        <family val="2"/>
      </rPr>
      <t>4</t>
    </r>
  </si>
  <si>
    <t>E&amp;G Portion</t>
  </si>
  <si>
    <t>E&amp;G Salary</t>
  </si>
  <si>
    <t>E&amp;G HLD</t>
  </si>
  <si>
    <t>E&amp;G Other Exp</t>
  </si>
  <si>
    <t>FY 26 Total Base Increase</t>
  </si>
  <si>
    <t>Total Education and General</t>
  </si>
  <si>
    <t>Scholarship + Fellowship</t>
  </si>
  <si>
    <t>TOTAL</t>
  </si>
  <si>
    <t>3 - Inflation factor applied to other expenses aligned with Office of State Planning and Budgeting (OSPB) June 2024 Colorado Inflation Forecast.</t>
  </si>
  <si>
    <t>Fiscal Year 23-24 Estimates from Budget Data Books, submitted to CDHE in Fall 2023.</t>
  </si>
  <si>
    <t xml:space="preserve">Sources: </t>
  </si>
  <si>
    <t>2023-2024 Estimate Governing Board Natural Expense Category Summary; Format 25</t>
  </si>
  <si>
    <t>2023-2024 Estimated Scholarship and Fellowship Total; Format 1800</t>
  </si>
  <si>
    <t>Inflationary Increases</t>
  </si>
  <si>
    <t>Salary Change</t>
  </si>
  <si>
    <t>HLD Change</t>
  </si>
  <si>
    <t>Other Exp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</si>
</sst>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"/>
    <numFmt numFmtId="166" formatCode="&quot;$&quot;#,##0.0_);\(&quot;$&quot;#,##0.0\)"/>
    <numFmt numFmtId="167" formatCode="0.0"/>
    <numFmt numFmtId="168" formatCode="_(* #,##0.0_);_(* \(#,##0.0\);_(* &quot;-&quot;??_);_(@_)"/>
    <numFmt numFmtId="169" formatCode="0.000%"/>
    <numFmt numFmtId="170" formatCode="_(* #,##0_);_(* \(#,##0\);_(* &quot;-&quot;??_);_(@_)"/>
    <numFmt numFmtId="171" formatCode="&quot;$&quot;#,##0"/>
  </numFmts>
  <fonts count="35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 MT"/>
    </font>
    <font>
      <sz val="10"/>
      <color theme="1"/>
      <name val="Calibri"/>
      <family val="2"/>
    </font>
    <font>
      <sz val="12"/>
      <color theme="1"/>
      <name val="Garamond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b/>
      <sz val="11"/>
      <color rgb="FFFFFFFF"/>
      <name val="Aptos"/>
      <family val="2"/>
    </font>
    <font>
      <i/>
      <sz val="11"/>
      <color rgb="FF000000"/>
      <name val="Aptos"/>
      <family val="2"/>
    </font>
    <font>
      <sz val="11"/>
      <color rgb="FFFFFFFF"/>
      <name val="Aptos"/>
      <family val="2"/>
    </font>
    <font>
      <sz val="10"/>
      <color theme="1"/>
      <name val="Aptos"/>
      <family val="2"/>
    </font>
    <font>
      <b/>
      <vertAlign val="superscript"/>
      <sz val="11"/>
      <color theme="1"/>
      <name val="Aptos"/>
      <family val="2"/>
    </font>
    <font>
      <u/>
      <sz val="11"/>
      <color theme="10"/>
      <name val="Calibri"/>
      <family val="2"/>
      <scheme val="minor"/>
    </font>
    <font>
      <b/>
      <vertAlign val="superscript"/>
      <sz val="11"/>
      <name val="Aptos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9">
    <xf numFmtId="0" fontId="0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0" fillId="0" borderId="0"/>
    <xf numFmtId="0" fontId="11" fillId="0" borderId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1" fillId="0" borderId="0"/>
    <xf numFmtId="9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44" fontId="5" fillId="0" borderId="0" applyFont="0" applyFill="0" applyBorder="0" applyAlignment="0" applyProtection="0"/>
    <xf numFmtId="0" fontId="1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26">
    <xf numFmtId="0" fontId="0" fillId="0" borderId="0" xfId="0"/>
    <xf numFmtId="170" fontId="14" fillId="0" borderId="0" xfId="1" applyNumberFormat="1" applyFont="1"/>
    <xf numFmtId="170" fontId="14" fillId="0" borderId="0" xfId="1" applyNumberFormat="1" applyFont="1" applyFill="1"/>
    <xf numFmtId="170" fontId="17" fillId="0" borderId="0" xfId="1" applyNumberFormat="1" applyFont="1" applyFill="1" applyAlignment="1" applyProtection="1">
      <alignment horizontal="left"/>
    </xf>
    <xf numFmtId="170" fontId="18" fillId="0" borderId="0" xfId="1" applyNumberFormat="1" applyFont="1" applyFill="1" applyAlignment="1">
      <alignment horizontal="center"/>
    </xf>
    <xf numFmtId="9" fontId="14" fillId="0" borderId="0" xfId="2" applyFont="1"/>
    <xf numFmtId="170" fontId="14" fillId="0" borderId="0" xfId="2" applyNumberFormat="1" applyFont="1"/>
    <xf numFmtId="170" fontId="17" fillId="0" borderId="0" xfId="1" applyNumberFormat="1" applyFont="1" applyFill="1" applyAlignment="1" applyProtection="1">
      <alignment horizontal="center"/>
      <protection locked="0"/>
    </xf>
    <xf numFmtId="170" fontId="17" fillId="0" borderId="0" xfId="1" applyNumberFormat="1" applyFont="1" applyFill="1" applyAlignment="1">
      <alignment horizontal="center"/>
    </xf>
    <xf numFmtId="170" fontId="14" fillId="0" borderId="0" xfId="1" applyNumberFormat="1" applyFont="1" applyFill="1" applyAlignment="1">
      <alignment horizontal="center"/>
    </xf>
    <xf numFmtId="0" fontId="1" fillId="0" borderId="0" xfId="0" applyFont="1"/>
    <xf numFmtId="44" fontId="1" fillId="0" borderId="0" xfId="83" applyFont="1"/>
    <xf numFmtId="0" fontId="1" fillId="0" borderId="1" xfId="0" applyFont="1" applyBorder="1"/>
    <xf numFmtId="9" fontId="1" fillId="0" borderId="0" xfId="2" applyFont="1" applyFill="1"/>
    <xf numFmtId="44" fontId="1" fillId="0" borderId="0" xfId="0" applyNumberFormat="1" applyFont="1"/>
    <xf numFmtId="0" fontId="1" fillId="0" borderId="3" xfId="0" applyFont="1" applyBorder="1" applyAlignment="1">
      <alignment horizontal="center"/>
    </xf>
    <xf numFmtId="0" fontId="19" fillId="0" borderId="3" xfId="0" applyFont="1" applyBorder="1"/>
    <xf numFmtId="44" fontId="1" fillId="0" borderId="3" xfId="83" applyFont="1" applyBorder="1"/>
    <xf numFmtId="44" fontId="1" fillId="0" borderId="3" xfId="83" applyFont="1" applyFill="1" applyBorder="1"/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" fillId="0" borderId="3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0" fontId="22" fillId="0" borderId="0" xfId="1" applyNumberFormat="1" applyFont="1" applyFill="1"/>
    <xf numFmtId="164" fontId="22" fillId="0" borderId="0" xfId="2" applyNumberFormat="1" applyFont="1"/>
    <xf numFmtId="0" fontId="24" fillId="0" borderId="0" xfId="0" applyFont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164" fontId="24" fillId="0" borderId="0" xfId="0" applyNumberFormat="1" applyFont="1" applyAlignment="1">
      <alignment wrapText="1"/>
    </xf>
    <xf numFmtId="0" fontId="24" fillId="2" borderId="3" xfId="0" applyFont="1" applyFill="1" applyBorder="1" applyAlignment="1">
      <alignment horizontal="center" wrapText="1"/>
    </xf>
    <xf numFmtId="0" fontId="25" fillId="0" borderId="0" xfId="0" applyFont="1"/>
    <xf numFmtId="166" fontId="25" fillId="0" borderId="0" xfId="1" applyNumberFormat="1" applyFont="1" applyBorder="1"/>
    <xf numFmtId="166" fontId="25" fillId="0" borderId="0" xfId="1" applyNumberFormat="1" applyFont="1" applyFill="1" applyBorder="1"/>
    <xf numFmtId="165" fontId="25" fillId="0" borderId="0" xfId="0" applyNumberFormat="1" applyFont="1"/>
    <xf numFmtId="9" fontId="22" fillId="0" borderId="0" xfId="2" applyFont="1"/>
    <xf numFmtId="168" fontId="25" fillId="0" borderId="0" xfId="1" applyNumberFormat="1" applyFont="1" applyBorder="1"/>
    <xf numFmtId="168" fontId="25" fillId="0" borderId="0" xfId="1" applyNumberFormat="1" applyFont="1" applyFill="1" applyBorder="1"/>
    <xf numFmtId="44" fontId="22" fillId="0" borderId="0" xfId="83" applyFont="1"/>
    <xf numFmtId="43" fontId="22" fillId="0" borderId="0" xfId="1" applyFont="1" applyFill="1"/>
    <xf numFmtId="168" fontId="25" fillId="0" borderId="1" xfId="1" applyNumberFormat="1" applyFont="1" applyBorder="1"/>
    <xf numFmtId="44" fontId="22" fillId="0" borderId="0" xfId="0" applyNumberFormat="1" applyFont="1"/>
    <xf numFmtId="167" fontId="22" fillId="0" borderId="0" xfId="0" applyNumberFormat="1" applyFont="1"/>
    <xf numFmtId="9" fontId="22" fillId="0" borderId="0" xfId="0" applyNumberFormat="1" applyFont="1"/>
    <xf numFmtId="168" fontId="22" fillId="0" borderId="0" xfId="1" applyNumberFormat="1" applyFont="1"/>
    <xf numFmtId="169" fontId="22" fillId="0" borderId="0" xfId="2" applyNumberFormat="1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" fontId="22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71" fontId="25" fillId="0" borderId="0" xfId="0" applyNumberFormat="1" applyFont="1" applyAlignment="1">
      <alignment vertical="center"/>
    </xf>
    <xf numFmtId="170" fontId="25" fillId="0" borderId="0" xfId="1" applyNumberFormat="1" applyFont="1" applyAlignment="1">
      <alignment vertical="center"/>
    </xf>
    <xf numFmtId="171" fontId="22" fillId="0" borderId="0" xfId="0" applyNumberFormat="1" applyFont="1"/>
    <xf numFmtId="2" fontId="22" fillId="0" borderId="0" xfId="0" applyNumberFormat="1" applyFont="1"/>
    <xf numFmtId="0" fontId="29" fillId="0" borderId="0" xfId="0" applyFont="1" applyAlignment="1">
      <alignment vertical="center"/>
    </xf>
    <xf numFmtId="0" fontId="30" fillId="0" borderId="0" xfId="0" applyFont="1"/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/>
    <xf numFmtId="10" fontId="22" fillId="0" borderId="0" xfId="0" applyNumberFormat="1" applyFont="1"/>
    <xf numFmtId="165" fontId="22" fillId="0" borderId="0" xfId="2" applyNumberFormat="1" applyFont="1"/>
    <xf numFmtId="0" fontId="25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4" fillId="2" borderId="14" xfId="0" applyFont="1" applyFill="1" applyBorder="1"/>
    <xf numFmtId="0" fontId="24" fillId="2" borderId="14" xfId="0" applyFont="1" applyFill="1" applyBorder="1" applyAlignment="1">
      <alignment horizontal="center" wrapText="1"/>
    </xf>
    <xf numFmtId="164" fontId="24" fillId="2" borderId="15" xfId="0" applyNumberFormat="1" applyFont="1" applyFill="1" applyBorder="1" applyAlignment="1">
      <alignment horizontal="center" wrapText="1"/>
    </xf>
    <xf numFmtId="0" fontId="25" fillId="0" borderId="7" xfId="0" applyFont="1" applyBorder="1"/>
    <xf numFmtId="166" fontId="25" fillId="0" borderId="7" xfId="1" applyNumberFormat="1" applyFont="1" applyBorder="1"/>
    <xf numFmtId="166" fontId="25" fillId="0" borderId="5" xfId="1" applyNumberFormat="1" applyFont="1" applyBorder="1"/>
    <xf numFmtId="166" fontId="25" fillId="0" borderId="8" xfId="1" applyNumberFormat="1" applyFont="1" applyBorder="1"/>
    <xf numFmtId="164" fontId="25" fillId="0" borderId="7" xfId="2" applyNumberFormat="1" applyFont="1" applyBorder="1"/>
    <xf numFmtId="164" fontId="25" fillId="0" borderId="19" xfId="2" applyNumberFormat="1" applyFont="1" applyBorder="1"/>
    <xf numFmtId="165" fontId="25" fillId="0" borderId="5" xfId="1" applyNumberFormat="1" applyFont="1" applyBorder="1"/>
    <xf numFmtId="165" fontId="25" fillId="0" borderId="8" xfId="1" applyNumberFormat="1" applyFont="1" applyBorder="1"/>
    <xf numFmtId="165" fontId="25" fillId="0" borderId="20" xfId="1" applyNumberFormat="1" applyFont="1" applyBorder="1"/>
    <xf numFmtId="168" fontId="25" fillId="0" borderId="7" xfId="1" applyNumberFormat="1" applyFont="1" applyBorder="1"/>
    <xf numFmtId="168" fontId="25" fillId="0" borderId="5" xfId="1" applyNumberFormat="1" applyFont="1" applyBorder="1"/>
    <xf numFmtId="168" fontId="25" fillId="0" borderId="8" xfId="1" applyNumberFormat="1" applyFont="1" applyBorder="1"/>
    <xf numFmtId="168" fontId="25" fillId="0" borderId="20" xfId="1" applyNumberFormat="1" applyFont="1" applyBorder="1"/>
    <xf numFmtId="0" fontId="25" fillId="0" borderId="16" xfId="0" applyFont="1" applyBorder="1"/>
    <xf numFmtId="168" fontId="25" fillId="0" borderId="16" xfId="1" applyNumberFormat="1" applyFont="1" applyBorder="1"/>
    <xf numFmtId="168" fontId="25" fillId="0" borderId="6" xfId="1" applyNumberFormat="1" applyFont="1" applyBorder="1"/>
    <xf numFmtId="168" fontId="25" fillId="0" borderId="17" xfId="1" applyNumberFormat="1" applyFont="1" applyBorder="1"/>
    <xf numFmtId="164" fontId="25" fillId="0" borderId="16" xfId="2" applyNumberFormat="1" applyFont="1" applyBorder="1"/>
    <xf numFmtId="168" fontId="25" fillId="0" borderId="21" xfId="1" applyNumberFormat="1" applyFont="1" applyBorder="1"/>
    <xf numFmtId="0" fontId="24" fillId="2" borderId="9" xfId="0" applyFont="1" applyFill="1" applyBorder="1" applyAlignment="1">
      <alignment horizontal="right" vertical="center"/>
    </xf>
    <xf numFmtId="165" fontId="24" fillId="2" borderId="9" xfId="0" applyNumberFormat="1" applyFont="1" applyFill="1" applyBorder="1" applyAlignment="1">
      <alignment vertical="center"/>
    </xf>
    <xf numFmtId="165" fontId="24" fillId="2" borderId="22" xfId="0" applyNumberFormat="1" applyFont="1" applyFill="1" applyBorder="1" applyAlignment="1">
      <alignment vertical="center"/>
    </xf>
    <xf numFmtId="165" fontId="24" fillId="2" borderId="18" xfId="0" applyNumberFormat="1" applyFont="1" applyFill="1" applyBorder="1" applyAlignment="1">
      <alignment vertical="center"/>
    </xf>
    <xf numFmtId="167" fontId="24" fillId="0" borderId="0" xfId="0" applyNumberFormat="1" applyFont="1" applyAlignment="1">
      <alignment vertical="center"/>
    </xf>
    <xf numFmtId="164" fontId="24" fillId="4" borderId="23" xfId="2" applyNumberFormat="1" applyFont="1" applyFill="1" applyBorder="1" applyAlignment="1">
      <alignment vertical="center"/>
    </xf>
    <xf numFmtId="165" fontId="24" fillId="2" borderId="24" xfId="0" applyNumberFormat="1" applyFont="1" applyFill="1" applyBorder="1" applyAlignment="1">
      <alignment vertical="center"/>
    </xf>
    <xf numFmtId="165" fontId="24" fillId="2" borderId="25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0" fontId="24" fillId="4" borderId="23" xfId="2" applyNumberFormat="1" applyFont="1" applyFill="1" applyBorder="1" applyAlignment="1">
      <alignment vertical="center"/>
    </xf>
    <xf numFmtId="167" fontId="24" fillId="4" borderId="23" xfId="0" applyNumberFormat="1" applyFont="1" applyFill="1" applyBorder="1" applyAlignment="1">
      <alignment vertical="center"/>
    </xf>
    <xf numFmtId="165" fontId="24" fillId="3" borderId="26" xfId="0" applyNumberFormat="1" applyFont="1" applyFill="1" applyBorder="1" applyAlignment="1">
      <alignment vertical="center"/>
    </xf>
    <xf numFmtId="44" fontId="22" fillId="0" borderId="0" xfId="83" applyFont="1" applyAlignment="1">
      <alignment vertical="center"/>
    </xf>
    <xf numFmtId="43" fontId="22" fillId="0" borderId="0" xfId="1" applyFont="1" applyFill="1" applyAlignment="1">
      <alignment vertical="center"/>
    </xf>
    <xf numFmtId="0" fontId="32" fillId="0" borderId="0" xfId="88"/>
    <xf numFmtId="0" fontId="24" fillId="2" borderId="27" xfId="0" applyFont="1" applyFill="1" applyBorder="1" applyAlignment="1">
      <alignment horizontal="center" wrapText="1"/>
    </xf>
    <xf numFmtId="166" fontId="25" fillId="0" borderId="28" xfId="1" applyNumberFormat="1" applyFont="1" applyBorder="1"/>
    <xf numFmtId="168" fontId="25" fillId="0" borderId="28" xfId="1" applyNumberFormat="1" applyFont="1" applyBorder="1"/>
    <xf numFmtId="168" fontId="25" fillId="0" borderId="29" xfId="1" applyNumberFormat="1" applyFont="1" applyBorder="1"/>
    <xf numFmtId="165" fontId="24" fillId="2" borderId="30" xfId="0" applyNumberFormat="1" applyFont="1" applyFill="1" applyBorder="1" applyAlignment="1">
      <alignment vertical="center"/>
    </xf>
    <xf numFmtId="10" fontId="22" fillId="0" borderId="0" xfId="2" applyNumberFormat="1" applyFont="1" applyFill="1"/>
    <xf numFmtId="170" fontId="22" fillId="0" borderId="0" xfId="1" applyNumberFormat="1" applyFont="1"/>
    <xf numFmtId="170" fontId="18" fillId="0" borderId="0" xfId="1" applyNumberFormat="1" applyFont="1" applyFill="1"/>
    <xf numFmtId="170" fontId="18" fillId="0" borderId="0" xfId="1" applyNumberFormat="1" applyFont="1"/>
    <xf numFmtId="9" fontId="18" fillId="0" borderId="0" xfId="2" applyFont="1"/>
    <xf numFmtId="170" fontId="18" fillId="0" borderId="0" xfId="2" applyNumberFormat="1" applyFont="1"/>
    <xf numFmtId="170" fontId="34" fillId="0" borderId="0" xfId="1" applyNumberFormat="1" applyFont="1" applyFill="1" applyAlignment="1" applyProtection="1">
      <alignment horizontal="center"/>
      <protection locked="0"/>
    </xf>
    <xf numFmtId="170" fontId="34" fillId="0" borderId="0" xfId="1" applyNumberFormat="1" applyFont="1" applyFill="1" applyAlignment="1">
      <alignment horizontal="center"/>
    </xf>
    <xf numFmtId="170" fontId="18" fillId="0" borderId="0" xfId="1" applyNumberFormat="1" applyFont="1" applyAlignment="1">
      <alignment horizontal="right"/>
    </xf>
    <xf numFmtId="170" fontId="34" fillId="0" borderId="0" xfId="1" applyNumberFormat="1" applyFont="1" applyFill="1" applyAlignment="1" applyProtection="1">
      <alignment horizontal="left"/>
    </xf>
    <xf numFmtId="0" fontId="25" fillId="0" borderId="0" xfId="0" applyFont="1" applyAlignment="1">
      <alignment horizontal="left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2" borderId="31" xfId="0" applyFont="1" applyFill="1" applyBorder="1" applyAlignment="1">
      <alignment horizontal="center" wrapText="1"/>
    </xf>
  </cellXfs>
  <cellStyles count="89">
    <cellStyle name="Comma" xfId="1" builtinId="3"/>
    <cellStyle name="Comma 10" xfId="25" xr:uid="{B2BEC507-62C1-4ED6-8D2C-4CA685860A4C}"/>
    <cellStyle name="Comma 10 2" xfId="26" xr:uid="{CC96DFB0-5A82-4A52-B594-C8AF995139FE}"/>
    <cellStyle name="Comma 10 3" xfId="27" xr:uid="{417E5F18-3018-4659-B458-2EC641118DC6}"/>
    <cellStyle name="Comma 11" xfId="28" xr:uid="{ACD664CB-ACEE-4578-983F-FC377B048E43}"/>
    <cellStyle name="Comma 11 2" xfId="29" xr:uid="{CF6B47EE-EE95-48B9-AFFF-C66526CEF2B9}"/>
    <cellStyle name="Comma 11 3" xfId="30" xr:uid="{43C566CA-E814-445F-8CD8-BDBDCF0CE523}"/>
    <cellStyle name="Comma 12" xfId="31" xr:uid="{AE875491-4DB6-43A9-A3F5-F1642D54A86D}"/>
    <cellStyle name="Comma 12 2" xfId="32" xr:uid="{0407A4B7-FB91-4B88-8EA6-7310A9F5455C}"/>
    <cellStyle name="Comma 12 3" xfId="33" xr:uid="{94F19621-BC24-4460-92E1-B98A76029252}"/>
    <cellStyle name="Comma 13" xfId="69" xr:uid="{E5FBF3FE-9AF9-4A8E-B588-811A481E9423}"/>
    <cellStyle name="Comma 13 2" xfId="34" xr:uid="{826B8407-EF55-4DC1-B1EA-F066666F02D7}"/>
    <cellStyle name="Comma 13 3" xfId="35" xr:uid="{0AEDFF40-DD3B-4CFB-AC86-5E551CAD182D}"/>
    <cellStyle name="Comma 16" xfId="10" xr:uid="{61F38021-6B6D-44A0-963A-6A401720EA0E}"/>
    <cellStyle name="Comma 17" xfId="36" xr:uid="{39FE1952-D7B8-418F-B21F-AB2B26FD3440}"/>
    <cellStyle name="Comma 17 2" xfId="37" xr:uid="{BFEE00E0-31EF-4D28-9749-503258994228}"/>
    <cellStyle name="Comma 17 3" xfId="38" xr:uid="{ED02761F-D873-44F9-8806-5B109EA55636}"/>
    <cellStyle name="Comma 18" xfId="39" xr:uid="{F80FD23D-F498-452C-8CD7-57F0AB79FFF2}"/>
    <cellStyle name="Comma 18 2" xfId="40" xr:uid="{E0B2D901-C0AE-4712-B264-D9842A19A2B8}"/>
    <cellStyle name="Comma 18 3" xfId="41" xr:uid="{196B62E4-BCC5-4C20-A08A-5F70CF7B41AF}"/>
    <cellStyle name="Comma 2" xfId="5" xr:uid="{376F6B54-A63D-4991-B494-C68BAA2A8C52}"/>
    <cellStyle name="Comma 2 2" xfId="14" xr:uid="{5E1CEEE7-2BDF-4086-8AE6-B9C7A6599EE7}"/>
    <cellStyle name="Comma 2 2 2" xfId="77" xr:uid="{EC0A0D04-591F-476C-BB2B-87800E1E7BFA}"/>
    <cellStyle name="Comma 2 3" xfId="22" xr:uid="{458284A4-9A9F-4856-ACAD-43AF895B9146}"/>
    <cellStyle name="Comma 2 4" xfId="87" xr:uid="{9933A271-3546-4959-A6CE-BE9DB0DC8CFF}"/>
    <cellStyle name="Comma 23" xfId="42" xr:uid="{D9EECAA1-4C3C-49B2-8E51-C2F8C12E712C}"/>
    <cellStyle name="Comma 23 2" xfId="43" xr:uid="{ED5D282A-C57C-481A-A73F-702BA6D4F907}"/>
    <cellStyle name="Comma 23 3" xfId="44" xr:uid="{97976894-A37A-40E3-9AC1-8A4F7766BA65}"/>
    <cellStyle name="Comma 3" xfId="8" xr:uid="{790005D8-332E-4590-B01A-6AB6F435D4B7}"/>
    <cellStyle name="Comma 3 2" xfId="45" xr:uid="{04F84EDB-4ABF-429E-8E7F-E8F605E2A836}"/>
    <cellStyle name="Comma 3 3" xfId="46" xr:uid="{C1B4210B-DF15-458F-932E-B837167A280E}"/>
    <cellStyle name="Comma 3 4" xfId="80" xr:uid="{3ECB21C4-A795-4360-894F-F587A7DB26A5}"/>
    <cellStyle name="Comma 4" xfId="17" xr:uid="{CF96A6F9-5DB9-407B-A2A3-41C2206F4F4C}"/>
    <cellStyle name="Comma 4 2" xfId="48" xr:uid="{287FF196-87F3-411B-8764-C26B8182694F}"/>
    <cellStyle name="Comma 4 3" xfId="49" xr:uid="{D2044360-E6C5-4446-B021-CAE7D8C2DE2F}"/>
    <cellStyle name="Comma 4 4" xfId="47" xr:uid="{4E186B5B-6484-44F5-86CF-085D89732295}"/>
    <cellStyle name="Comma 5" xfId="3" xr:uid="{5779C85D-F255-4E08-9EFD-5D43BF017F73}"/>
    <cellStyle name="Comma 5 2" xfId="50" xr:uid="{B31A6C5F-FF9B-4ED4-85F7-168FE62CD4C4}"/>
    <cellStyle name="Comma 5 3" xfId="51" xr:uid="{77D51C22-6125-4809-A274-BE261B767B4C}"/>
    <cellStyle name="Comma 6" xfId="52" xr:uid="{076830F6-1459-47ED-81DA-92C41CFD7189}"/>
    <cellStyle name="Comma 6 2" xfId="53" xr:uid="{87C2C47F-6C10-45AA-AD40-12B8A2D27E59}"/>
    <cellStyle name="Comma 6 3" xfId="54" xr:uid="{229E892C-6312-4CF6-86CC-82E57441D023}"/>
    <cellStyle name="Comma 7" xfId="55" xr:uid="{03EDF73C-74AB-42E2-9D2B-6056D32C9117}"/>
    <cellStyle name="Comma 7 2" xfId="56" xr:uid="{F4CA920A-5406-43D4-B298-F7CFDFA8D7C6}"/>
    <cellStyle name="Comma 7 3" xfId="57" xr:uid="{32D24D44-7365-4A24-8A24-9198EDFED007}"/>
    <cellStyle name="Comma 8" xfId="58" xr:uid="{E6965BCD-C495-4A10-BB9D-8D84D489B3E1}"/>
    <cellStyle name="Comma 8 2" xfId="59" xr:uid="{CE8E3714-5B5A-4946-B481-CA713344AF77}"/>
    <cellStyle name="Comma 8 3" xfId="60" xr:uid="{40011DB0-C3A7-4865-AA08-CDA98AA060DF}"/>
    <cellStyle name="Comma 9" xfId="61" xr:uid="{5C44795F-F88C-4D12-B652-D8029A8A61F9}"/>
    <cellStyle name="Comma 9 2" xfId="62" xr:uid="{1561971C-E823-4B45-BD64-55C726B216E0}"/>
    <cellStyle name="Comma 9 3" xfId="63" xr:uid="{9868A904-5DDA-4036-A8DD-5800674F60B7}"/>
    <cellStyle name="Currency" xfId="83" builtinId="4"/>
    <cellStyle name="Currency 2" xfId="6" xr:uid="{D2FB3DE5-4EF0-4DAF-BA38-6CEC2D4D4C38}"/>
    <cellStyle name="Currency 2 2" xfId="15" xr:uid="{F995EFAE-58F5-4718-B0B1-FBCBD46D0E3F}"/>
    <cellStyle name="Currency 2 2 2" xfId="73" xr:uid="{6A37E5CB-3334-45C0-9FE6-53F339D88415}"/>
    <cellStyle name="Currency 2 3" xfId="68" xr:uid="{E077763E-5CAB-4F58-9E69-4C9205F3FF06}"/>
    <cellStyle name="Currency 3" xfId="19" xr:uid="{4596ECC1-D0F2-4098-89A4-A69E380CB936}"/>
    <cellStyle name="Currency 4" xfId="79" xr:uid="{27164417-93E5-4B59-B2CE-F954093D2E30}"/>
    <cellStyle name="Hyperlink" xfId="88" builtinId="8"/>
    <cellStyle name="Hyperlink 2" xfId="64" xr:uid="{01DA7C1C-8250-4F21-8869-EEBBDCFCFCB8}"/>
    <cellStyle name="Normal" xfId="0" builtinId="0"/>
    <cellStyle name="Normal 14" xfId="11" xr:uid="{7D5D124F-4F14-42D9-BDE2-36A2399E21DF}"/>
    <cellStyle name="Normal 2" xfId="4" xr:uid="{35331ECA-1DA8-4CA4-9F97-36B41D97BD77}"/>
    <cellStyle name="Normal 2 2" xfId="12" xr:uid="{87E9C6D1-0E98-430A-9AF2-F72F09ACE3E1}"/>
    <cellStyle name="Normal 2 2 2" xfId="70" xr:uid="{D59D33E2-4567-43E0-9836-F93E01FE82EA}"/>
    <cellStyle name="Normal 2 2 3" xfId="23" xr:uid="{F531F27C-084A-4D19-A581-88840162395C}"/>
    <cellStyle name="Normal 2 3" xfId="21" xr:uid="{35DD80B9-09D6-483A-A582-888773B2B0B7}"/>
    <cellStyle name="Normal 2 3 2" xfId="82" xr:uid="{4E2CCBA9-8C9E-404A-8F51-673A21AB122B}"/>
    <cellStyle name="Normal 2 4" xfId="85" xr:uid="{C6351489-330A-4C25-A8B3-67B0F5A342BB}"/>
    <cellStyle name="Normal 3" xfId="18" xr:uid="{98745424-28EC-498B-BE76-870FF6F75F3C}"/>
    <cellStyle name="Normal 3 2" xfId="71" xr:uid="{38A4E3CB-46D0-4435-8615-D5DDC7F4C424}"/>
    <cellStyle name="Normal 3 3" xfId="24" xr:uid="{9EB2D1FE-0245-4B13-A4E8-A2AF92CE9D1F}"/>
    <cellStyle name="Normal 3 3 2" xfId="78" xr:uid="{9A70EC4A-C2E3-4B69-90A6-AA6E62945699}"/>
    <cellStyle name="Normal 3 5" xfId="9" xr:uid="{7DF7571B-7107-4A84-A085-257533BC876B}"/>
    <cellStyle name="Normal 4" xfId="65" xr:uid="{C02D2475-3F92-4ECB-8242-FD8F640AA27F}"/>
    <cellStyle name="Normal 5" xfId="66" xr:uid="{4A97539B-D012-4D38-9F8E-32332230EBEC}"/>
    <cellStyle name="Normal 5 2" xfId="72" xr:uid="{C33C4F31-B0DD-4FD2-9A81-041DFDA2A90E}"/>
    <cellStyle name="Normal 6" xfId="20" xr:uid="{BB42676B-B20A-43CB-814B-715C5972E524}"/>
    <cellStyle name="Normal 6 2" xfId="81" xr:uid="{AF43AE97-353B-46BF-8A53-2CD3B1D2FA4F}"/>
    <cellStyle name="Normal 7" xfId="84" xr:uid="{372A31F7-D638-41E3-BB19-AFC116F0739A}"/>
    <cellStyle name="Normal 9" xfId="75" xr:uid="{401C5644-E94A-4A28-9E67-68FBABAAA636}"/>
    <cellStyle name="Percent" xfId="2" builtinId="5"/>
    <cellStyle name="Percent 2" xfId="7" xr:uid="{D8B19AEA-4FB3-4CF5-BB2D-3E12DF63436A}"/>
    <cellStyle name="Percent 2 2" xfId="16" xr:uid="{869BBAFB-11F8-4125-80B7-75B05FD61F53}"/>
    <cellStyle name="Percent 2 2 2" xfId="76" xr:uid="{6835E7EE-347C-42A7-AA1B-183ADBA1F489}"/>
    <cellStyle name="Percent 2 3" xfId="67" xr:uid="{3F6F3FD6-A4C1-4FD8-A251-6AC1C4EDD9C9}"/>
    <cellStyle name="Percent 2 4" xfId="86" xr:uid="{47DCD659-36AD-4FB1-9096-C809F621C7D3}"/>
    <cellStyle name="Percent 3" xfId="13" xr:uid="{3F87C7BE-162D-402B-8D1E-6D590457B00B}"/>
    <cellStyle name="Percent 4" xfId="74" xr:uid="{74E75E96-8FEA-4F73-B8EE-BE3EE8A94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216B-1D61-4639-8BBC-F57F31E2660A}">
  <dimension ref="A1:W44"/>
  <sheetViews>
    <sheetView tabSelected="1" topLeftCell="A2" zoomScaleNormal="100" workbookViewId="0">
      <selection activeCell="T15" sqref="T15"/>
    </sheetView>
  </sheetViews>
  <sheetFormatPr defaultColWidth="8.6640625" defaultRowHeight="14.4"/>
  <cols>
    <col min="1" max="1" width="39.44140625" style="24" bestFit="1" customWidth="1"/>
    <col min="2" max="2" width="14.33203125" style="24" customWidth="1"/>
    <col min="3" max="4" width="14.33203125" style="24" hidden="1" customWidth="1"/>
    <col min="5" max="6" width="14.33203125" style="24" customWidth="1"/>
    <col min="7" max="7" width="3.44140625" style="24" customWidth="1"/>
    <col min="8" max="10" width="12.88671875" style="24" customWidth="1"/>
    <col min="11" max="11" width="3.5546875" style="24" customWidth="1"/>
    <col min="12" max="14" width="12.88671875" style="24" customWidth="1"/>
    <col min="15" max="15" width="3.44140625" style="24" customWidth="1"/>
    <col min="16" max="16" width="12.88671875" style="24" customWidth="1"/>
    <col min="17" max="17" width="16" style="24" customWidth="1"/>
    <col min="18" max="18" width="12.88671875" style="24" customWidth="1"/>
    <col min="19" max="19" width="3.33203125" style="24" customWidth="1"/>
    <col min="20" max="20" width="15.44140625" style="24" customWidth="1"/>
    <col min="21" max="21" width="8.21875" style="24" customWidth="1"/>
    <col min="22" max="22" width="15.109375" style="24" customWidth="1"/>
    <col min="23" max="23" width="9.5546875" style="24" customWidth="1"/>
    <col min="24" max="16384" width="8.6640625" style="24"/>
  </cols>
  <sheetData>
    <row r="1" spans="1:23" hidden="1">
      <c r="V1" s="106">
        <v>1000000</v>
      </c>
    </row>
    <row r="2" spans="1:23" ht="15" thickBot="1"/>
    <row r="3" spans="1:23" s="46" customFormat="1" ht="25.2" customHeight="1" thickBot="1">
      <c r="A3" s="62"/>
      <c r="B3" s="122" t="s">
        <v>96</v>
      </c>
      <c r="C3" s="123"/>
      <c r="D3" s="123"/>
      <c r="E3" s="123"/>
      <c r="F3" s="124"/>
      <c r="H3" s="116" t="s">
        <v>97</v>
      </c>
      <c r="I3" s="117"/>
      <c r="J3" s="118"/>
      <c r="K3" s="57"/>
      <c r="L3" s="116" t="s">
        <v>98</v>
      </c>
      <c r="M3" s="117"/>
      <c r="N3" s="118"/>
      <c r="O3" s="57"/>
      <c r="P3" s="116" t="s">
        <v>99</v>
      </c>
      <c r="Q3" s="117"/>
      <c r="R3" s="118"/>
      <c r="S3" s="57"/>
    </row>
    <row r="4" spans="1:23" ht="28.8">
      <c r="A4" s="63"/>
      <c r="B4" s="64" t="s">
        <v>107</v>
      </c>
      <c r="C4" s="30" t="s">
        <v>2</v>
      </c>
      <c r="D4" s="28" t="s">
        <v>3</v>
      </c>
      <c r="E4" s="30" t="s">
        <v>108</v>
      </c>
      <c r="F4" s="100" t="s">
        <v>5</v>
      </c>
      <c r="G4" s="27"/>
      <c r="H4" s="64" t="s">
        <v>109</v>
      </c>
      <c r="I4" s="30" t="s">
        <v>110</v>
      </c>
      <c r="J4" s="65" t="s">
        <v>123</v>
      </c>
      <c r="K4" s="29"/>
      <c r="L4" s="64" t="s">
        <v>109</v>
      </c>
      <c r="M4" s="30" t="s">
        <v>111</v>
      </c>
      <c r="N4" s="65" t="s">
        <v>124</v>
      </c>
      <c r="O4" s="29"/>
      <c r="P4" s="64" t="s">
        <v>109</v>
      </c>
      <c r="Q4" s="30" t="s">
        <v>112</v>
      </c>
      <c r="R4" s="65" t="s">
        <v>125</v>
      </c>
      <c r="S4" s="27"/>
      <c r="T4" s="125" t="s">
        <v>113</v>
      </c>
    </row>
    <row r="5" spans="1:23" ht="19.2" customHeight="1">
      <c r="A5" s="66" t="s">
        <v>7</v>
      </c>
      <c r="B5" s="67">
        <f>'Supporting Data'!E4/$V$1</f>
        <v>28.009295000000002</v>
      </c>
      <c r="C5" s="68">
        <f>'Supporting Data'!B18/$V$1</f>
        <v>13.985637000000001</v>
      </c>
      <c r="D5" s="32">
        <f>'Supporting Data'!C18/$V$1</f>
        <v>11.129992</v>
      </c>
      <c r="E5" s="68">
        <f>C5+D5</f>
        <v>25.115628999999998</v>
      </c>
      <c r="F5" s="101">
        <f>B5+E5</f>
        <v>53.124924</v>
      </c>
      <c r="G5" s="31"/>
      <c r="H5" s="70">
        <f>'Supporting Data'!F32</f>
        <v>0.54588346323915216</v>
      </c>
      <c r="I5" s="68">
        <f>H5*F5</f>
        <v>29.000017497436751</v>
      </c>
      <c r="J5" s="69">
        <f>I5*W$6</f>
        <v>0.87000052492310254</v>
      </c>
      <c r="K5" s="33"/>
      <c r="L5" s="70">
        <f>'Supporting Data'!G32</f>
        <v>0.18450245061962228</v>
      </c>
      <c r="M5" s="68">
        <f t="shared" ref="M5:M14" si="0">F5*L5</f>
        <v>9.8016786669811875</v>
      </c>
      <c r="N5" s="69">
        <f>M5*W$7</f>
        <v>0.49008393334905942</v>
      </c>
      <c r="O5" s="31"/>
      <c r="P5" s="71">
        <f>'Supporting Data'!H32</f>
        <v>0.26961408614122562</v>
      </c>
      <c r="Q5" s="72">
        <f t="shared" ref="Q5:Q14" si="1">P5*F5</f>
        <v>14.323227835582065</v>
      </c>
      <c r="R5" s="73">
        <f>Q5*W$8</f>
        <v>0.3724039237251337</v>
      </c>
      <c r="S5" s="34"/>
      <c r="T5" s="74">
        <f>J5+N5+R5</f>
        <v>1.7324883819972958</v>
      </c>
      <c r="U5" s="35"/>
      <c r="V5" s="24" t="s">
        <v>122</v>
      </c>
      <c r="W5" s="25"/>
    </row>
    <row r="6" spans="1:23" ht="19.2" customHeight="1">
      <c r="A6" s="66" t="s">
        <v>8</v>
      </c>
      <c r="B6" s="75">
        <f>'Supporting Data'!E5/$V$1</f>
        <v>48.852113000000003</v>
      </c>
      <c r="C6" s="76">
        <f>'Supporting Data'!B19/$V$1</f>
        <v>62.299883999999999</v>
      </c>
      <c r="D6" s="36">
        <f>'Supporting Data'!C19/$V$1</f>
        <v>16.126052000000001</v>
      </c>
      <c r="E6" s="76">
        <f t="shared" ref="E6:E14" si="2">C6+D6</f>
        <v>78.425936000000007</v>
      </c>
      <c r="F6" s="102">
        <f t="shared" ref="F6:F14" si="3">B6+E6</f>
        <v>127.27804900000001</v>
      </c>
      <c r="G6" s="31"/>
      <c r="H6" s="70">
        <f>'Supporting Data'!F33</f>
        <v>0.51533198117257373</v>
      </c>
      <c r="I6" s="76">
        <f t="shared" ref="I6:I14" si="4">H6*F6</f>
        <v>65.590449150949922</v>
      </c>
      <c r="J6" s="77">
        <f t="shared" ref="J6:J14" si="5">I6*W$6</f>
        <v>1.9677134745284977</v>
      </c>
      <c r="K6" s="37"/>
      <c r="L6" s="70">
        <f>'Supporting Data'!G33</f>
        <v>0.17867635404732063</v>
      </c>
      <c r="M6" s="76">
        <f t="shared" si="0"/>
        <v>22.741577745576226</v>
      </c>
      <c r="N6" s="77">
        <f t="shared" ref="N6:N15" si="6">M6*W$7</f>
        <v>1.1370788872788113</v>
      </c>
      <c r="O6" s="31"/>
      <c r="P6" s="70">
        <f>'Supporting Data'!H33</f>
        <v>0.30599166478010564</v>
      </c>
      <c r="Q6" s="76">
        <f t="shared" si="1"/>
        <v>38.946022103473865</v>
      </c>
      <c r="R6" s="77">
        <f t="shared" ref="R6:R15" si="7">Q6*W$8</f>
        <v>1.0125965746903205</v>
      </c>
      <c r="S6" s="31"/>
      <c r="T6" s="78">
        <f>J6+N6+R6</f>
        <v>4.1173889364976297</v>
      </c>
      <c r="U6" s="35"/>
      <c r="V6" s="24" t="s">
        <v>95</v>
      </c>
      <c r="W6" s="25">
        <v>0.03</v>
      </c>
    </row>
    <row r="7" spans="1:23" ht="19.2" customHeight="1">
      <c r="A7" s="66" t="s">
        <v>9</v>
      </c>
      <c r="B7" s="75">
        <f>'Supporting Data'!E6/$V$1</f>
        <v>102.212951</v>
      </c>
      <c r="C7" s="76">
        <f>'Supporting Data'!B20/$V$1</f>
        <v>97.252066999999997</v>
      </c>
      <c r="D7" s="36">
        <f>'Supporting Data'!C20/$V$1</f>
        <v>11.025252</v>
      </c>
      <c r="E7" s="76">
        <f t="shared" si="2"/>
        <v>108.27731899999999</v>
      </c>
      <c r="F7" s="102">
        <f t="shared" si="3"/>
        <v>210.49027000000001</v>
      </c>
      <c r="G7" s="31"/>
      <c r="H7" s="70">
        <f>'Supporting Data'!F34</f>
        <v>0.57668789992845004</v>
      </c>
      <c r="I7" s="76">
        <f t="shared" si="4"/>
        <v>121.38719176167244</v>
      </c>
      <c r="J7" s="77">
        <f t="shared" si="5"/>
        <v>3.6416157528501731</v>
      </c>
      <c r="K7" s="37"/>
      <c r="L7" s="70">
        <f>'Supporting Data'!G34</f>
        <v>0.15440881438997506</v>
      </c>
      <c r="M7" s="76">
        <f t="shared" si="0"/>
        <v>32.501553031325734</v>
      </c>
      <c r="N7" s="77">
        <f t="shared" si="6"/>
        <v>1.6250776515662868</v>
      </c>
      <c r="O7" s="31"/>
      <c r="P7" s="70">
        <f>'Supporting Data'!H34</f>
        <v>0.2689032856815749</v>
      </c>
      <c r="Q7" s="76">
        <f t="shared" si="1"/>
        <v>56.601525207001835</v>
      </c>
      <c r="R7" s="77">
        <f t="shared" si="7"/>
        <v>1.4716396553820477</v>
      </c>
      <c r="S7" s="31"/>
      <c r="T7" s="78">
        <f t="shared" ref="T7:T13" si="8">J7+N7+R7</f>
        <v>6.7383330597985074</v>
      </c>
      <c r="U7" s="35"/>
      <c r="V7" s="24" t="s">
        <v>0</v>
      </c>
      <c r="W7" s="25">
        <v>0.05</v>
      </c>
    </row>
    <row r="8" spans="1:23" ht="19.2" customHeight="1">
      <c r="A8" s="66" t="s">
        <v>10</v>
      </c>
      <c r="B8" s="75">
        <f>'Supporting Data'!E7/$V$1</f>
        <v>24.677246</v>
      </c>
      <c r="C8" s="76">
        <f>'Supporting Data'!B21/$V$1</f>
        <v>13.109831</v>
      </c>
      <c r="D8" s="36">
        <f>'Supporting Data'!C21/$V$1</f>
        <v>11.165058</v>
      </c>
      <c r="E8" s="76">
        <f t="shared" si="2"/>
        <v>24.274889000000002</v>
      </c>
      <c r="F8" s="102">
        <f t="shared" si="3"/>
        <v>48.952134999999998</v>
      </c>
      <c r="G8" s="31"/>
      <c r="H8" s="70">
        <f>'Supporting Data'!F35</f>
        <v>0.52175334618464364</v>
      </c>
      <c r="I8" s="76">
        <f t="shared" si="4"/>
        <v>25.540940239132411</v>
      </c>
      <c r="J8" s="77">
        <f t="shared" si="5"/>
        <v>0.76622820717397233</v>
      </c>
      <c r="K8" s="37"/>
      <c r="L8" s="70">
        <f>'Supporting Data'!G35</f>
        <v>0.1764910896836232</v>
      </c>
      <c r="M8" s="76">
        <f t="shared" si="0"/>
        <v>8.6396156484898299</v>
      </c>
      <c r="N8" s="77">
        <f t="shared" si="6"/>
        <v>0.43198078242449151</v>
      </c>
      <c r="O8" s="31"/>
      <c r="P8" s="70">
        <f>'Supporting Data'!H35</f>
        <v>0.3017555641317331</v>
      </c>
      <c r="Q8" s="76">
        <f t="shared" si="1"/>
        <v>14.771579112377756</v>
      </c>
      <c r="R8" s="77">
        <f t="shared" si="7"/>
        <v>0.38406105692182163</v>
      </c>
      <c r="S8" s="31"/>
      <c r="T8" s="78">
        <f t="shared" si="8"/>
        <v>1.5822700465202855</v>
      </c>
      <c r="U8" s="38"/>
      <c r="V8" s="24" t="s">
        <v>1</v>
      </c>
      <c r="W8" s="105">
        <v>2.5999999999999999E-2</v>
      </c>
    </row>
    <row r="9" spans="1:23" ht="19.2" customHeight="1">
      <c r="A9" s="66" t="s">
        <v>11</v>
      </c>
      <c r="B9" s="75">
        <f>'Supporting Data'!E8/$V$1</f>
        <v>244.57371000000001</v>
      </c>
      <c r="C9" s="76">
        <f>'Supporting Data'!B22/$V$1</f>
        <v>239.653921</v>
      </c>
      <c r="D9" s="36">
        <f>'Supporting Data'!C22/$V$1</f>
        <v>304.97323799999998</v>
      </c>
      <c r="E9" s="76">
        <f t="shared" si="2"/>
        <v>544.62715900000001</v>
      </c>
      <c r="F9" s="102">
        <f t="shared" si="3"/>
        <v>789.20086900000001</v>
      </c>
      <c r="G9" s="31"/>
      <c r="H9" s="70">
        <f>'Supporting Data'!F36</f>
        <v>0.50915296503568441</v>
      </c>
      <c r="I9" s="76">
        <f t="shared" si="4"/>
        <v>401.82396246008875</v>
      </c>
      <c r="J9" s="77">
        <f t="shared" si="5"/>
        <v>12.054718873802662</v>
      </c>
      <c r="K9" s="37"/>
      <c r="L9" s="70">
        <f>'Supporting Data'!G36</f>
        <v>0.14637353483753715</v>
      </c>
      <c r="M9" s="76">
        <f t="shared" si="0"/>
        <v>115.51812089238609</v>
      </c>
      <c r="N9" s="77">
        <f t="shared" si="6"/>
        <v>5.7759060446193047</v>
      </c>
      <c r="O9" s="31"/>
      <c r="P9" s="70">
        <f>'Supporting Data'!H36</f>
        <v>0.34447350012677852</v>
      </c>
      <c r="Q9" s="76">
        <f t="shared" si="1"/>
        <v>271.85878564752522</v>
      </c>
      <c r="R9" s="77">
        <f t="shared" si="7"/>
        <v>7.0683284268356559</v>
      </c>
      <c r="S9" s="31"/>
      <c r="T9" s="78">
        <f t="shared" si="8"/>
        <v>24.898953345257624</v>
      </c>
      <c r="U9" s="38"/>
      <c r="W9" s="39"/>
    </row>
    <row r="10" spans="1:23" ht="19.2" customHeight="1">
      <c r="A10" s="66" t="s">
        <v>12</v>
      </c>
      <c r="B10" s="75">
        <f>'Supporting Data'!E9/$V$1</f>
        <v>23.123891</v>
      </c>
      <c r="C10" s="76">
        <f>'Supporting Data'!B23/$V$1</f>
        <v>10.140214</v>
      </c>
      <c r="D10" s="36">
        <f>'Supporting Data'!C23/$V$1</f>
        <v>32.827080000000002</v>
      </c>
      <c r="E10" s="76">
        <f t="shared" si="2"/>
        <v>42.967294000000003</v>
      </c>
      <c r="F10" s="102">
        <f t="shared" si="3"/>
        <v>66.091184999999996</v>
      </c>
      <c r="G10" s="31"/>
      <c r="H10" s="70">
        <f>'Supporting Data'!F37</f>
        <v>0.51555375632094336</v>
      </c>
      <c r="I10" s="76">
        <f t="shared" si="4"/>
        <v>34.073558686452387</v>
      </c>
      <c r="J10" s="77">
        <f t="shared" si="5"/>
        <v>1.0222067605935716</v>
      </c>
      <c r="K10" s="37"/>
      <c r="L10" s="70">
        <f>'Supporting Data'!G37</f>
        <v>0.16914149155769126</v>
      </c>
      <c r="M10" s="76">
        <f t="shared" si="0"/>
        <v>11.178761609715311</v>
      </c>
      <c r="N10" s="77">
        <f t="shared" si="6"/>
        <v>0.55893808048576554</v>
      </c>
      <c r="O10" s="31"/>
      <c r="P10" s="70">
        <f>'Supporting Data'!H37</f>
        <v>0.31530475212136538</v>
      </c>
      <c r="Q10" s="76">
        <f t="shared" si="1"/>
        <v>20.8388647038323</v>
      </c>
      <c r="R10" s="77">
        <f t="shared" si="7"/>
        <v>0.5418104822996398</v>
      </c>
      <c r="S10" s="31"/>
      <c r="T10" s="78">
        <f t="shared" si="8"/>
        <v>2.1229553233789771</v>
      </c>
      <c r="U10" s="38"/>
      <c r="W10" s="39"/>
    </row>
    <row r="11" spans="1:23" ht="19.2" customHeight="1">
      <c r="A11" s="66" t="s">
        <v>13</v>
      </c>
      <c r="B11" s="75">
        <f>'Supporting Data'!E10/$V$1</f>
        <v>345.54195900000002</v>
      </c>
      <c r="C11" s="76">
        <f>'Supporting Data'!B24/$V$1</f>
        <v>574.713887</v>
      </c>
      <c r="D11" s="36">
        <f>'Supporting Data'!C24/$V$1</f>
        <v>759.17770399999995</v>
      </c>
      <c r="E11" s="76">
        <f t="shared" si="2"/>
        <v>1333.8915910000001</v>
      </c>
      <c r="F11" s="102">
        <f t="shared" si="3"/>
        <v>1679.4335500000002</v>
      </c>
      <c r="G11" s="31"/>
      <c r="H11" s="70">
        <f>'Supporting Data'!F38</f>
        <v>0.53724798100143245</v>
      </c>
      <c r="I11" s="76">
        <f t="shared" si="4"/>
        <v>902.27228396356838</v>
      </c>
      <c r="J11" s="77">
        <f t="shared" si="5"/>
        <v>27.068168518907051</v>
      </c>
      <c r="K11" s="37"/>
      <c r="L11" s="70">
        <f>'Supporting Data'!G38</f>
        <v>0.19997836916473671</v>
      </c>
      <c r="M11" s="76">
        <f t="shared" si="0"/>
        <v>335.85038244954433</v>
      </c>
      <c r="N11" s="77">
        <f t="shared" si="6"/>
        <v>16.792519122477216</v>
      </c>
      <c r="O11" s="31"/>
      <c r="P11" s="70">
        <f>'Supporting Data'!H38</f>
        <v>0.26277364983383089</v>
      </c>
      <c r="Q11" s="76">
        <f t="shared" si="1"/>
        <v>441.3108835868876</v>
      </c>
      <c r="R11" s="77">
        <f t="shared" si="7"/>
        <v>11.474082973259078</v>
      </c>
      <c r="S11" s="31"/>
      <c r="T11" s="78">
        <f t="shared" si="8"/>
        <v>55.334770614643347</v>
      </c>
      <c r="U11" s="38"/>
      <c r="W11" s="39"/>
    </row>
    <row r="12" spans="1:23" ht="19.2" customHeight="1">
      <c r="A12" s="66" t="s">
        <v>14</v>
      </c>
      <c r="B12" s="75">
        <f>'Supporting Data'!E11/$V$1</f>
        <v>37.055176000000003</v>
      </c>
      <c r="C12" s="76">
        <f>'Supporting Data'!B25/$V$1</f>
        <v>79.893522000000004</v>
      </c>
      <c r="D12" s="36">
        <f>'Supporting Data'!C25/$V$1</f>
        <v>133.81251399999999</v>
      </c>
      <c r="E12" s="76">
        <f t="shared" si="2"/>
        <v>213.70603599999998</v>
      </c>
      <c r="F12" s="102">
        <f t="shared" si="3"/>
        <v>250.761212</v>
      </c>
      <c r="G12" s="31"/>
      <c r="H12" s="70">
        <f>'Supporting Data'!F39</f>
        <v>0.49524270483921334</v>
      </c>
      <c r="I12" s="76">
        <f t="shared" si="4"/>
        <v>124.1876608996394</v>
      </c>
      <c r="J12" s="77">
        <f t="shared" si="5"/>
        <v>3.7256298269891817</v>
      </c>
      <c r="K12" s="37"/>
      <c r="L12" s="70">
        <f>'Supporting Data'!G39</f>
        <v>0.15895923414933349</v>
      </c>
      <c r="M12" s="76">
        <f t="shared" si="0"/>
        <v>39.860810213878658</v>
      </c>
      <c r="N12" s="77">
        <f t="shared" si="6"/>
        <v>1.9930405106939331</v>
      </c>
      <c r="O12" s="31"/>
      <c r="P12" s="70">
        <f>'Supporting Data'!H39</f>
        <v>0.34579806101145316</v>
      </c>
      <c r="Q12" s="76">
        <f t="shared" si="1"/>
        <v>86.712740886481939</v>
      </c>
      <c r="R12" s="77">
        <f t="shared" si="7"/>
        <v>2.2545312630485301</v>
      </c>
      <c r="S12" s="31"/>
      <c r="T12" s="78">
        <f t="shared" si="8"/>
        <v>7.9732016007316453</v>
      </c>
      <c r="U12" s="38"/>
      <c r="W12" s="39"/>
    </row>
    <row r="13" spans="1:23" ht="19.2" customHeight="1">
      <c r="A13" s="66" t="s">
        <v>15</v>
      </c>
      <c r="B13" s="75">
        <f>'Supporting Data'!E12/$V$1</f>
        <v>68.939345000000003</v>
      </c>
      <c r="C13" s="76">
        <f>'Supporting Data'!B26/$V$1</f>
        <v>55.257412000000002</v>
      </c>
      <c r="D13" s="36">
        <f>'Supporting Data'!C26/$V$1</f>
        <v>19.066966000000001</v>
      </c>
      <c r="E13" s="76">
        <f t="shared" si="2"/>
        <v>74.324377999999996</v>
      </c>
      <c r="F13" s="102">
        <f t="shared" si="3"/>
        <v>143.263723</v>
      </c>
      <c r="G13" s="31"/>
      <c r="H13" s="70">
        <f>'Supporting Data'!F40</f>
        <v>0.54237175276124605</v>
      </c>
      <c r="I13" s="76">
        <f t="shared" si="4"/>
        <v>77.702196550611632</v>
      </c>
      <c r="J13" s="77">
        <f t="shared" si="5"/>
        <v>2.3310658965183491</v>
      </c>
      <c r="K13" s="37"/>
      <c r="L13" s="70">
        <f>'Supporting Data'!G40</f>
        <v>0.15198099281326202</v>
      </c>
      <c r="M13" s="76">
        <f t="shared" si="0"/>
        <v>21.773362855664161</v>
      </c>
      <c r="N13" s="77">
        <f t="shared" si="6"/>
        <v>1.0886681427832081</v>
      </c>
      <c r="O13" s="31"/>
      <c r="P13" s="70">
        <f>'Supporting Data'!H40</f>
        <v>0.30564725442549201</v>
      </c>
      <c r="Q13" s="76">
        <f t="shared" si="1"/>
        <v>43.788163593724214</v>
      </c>
      <c r="R13" s="77">
        <f t="shared" si="7"/>
        <v>1.1384922534368296</v>
      </c>
      <c r="S13" s="31"/>
      <c r="T13" s="78">
        <f t="shared" si="8"/>
        <v>4.5582262927383868</v>
      </c>
      <c r="U13" s="38"/>
      <c r="W13" s="39"/>
    </row>
    <row r="14" spans="1:23" ht="19.2" customHeight="1">
      <c r="A14" s="79" t="s">
        <v>16</v>
      </c>
      <c r="B14" s="80">
        <f>'Supporting Data'!E13/$V$1</f>
        <v>292.590037</v>
      </c>
      <c r="C14" s="81">
        <f>'Supporting Data'!B27/$V$1</f>
        <v>287.41138999999998</v>
      </c>
      <c r="D14" s="40">
        <f>'Supporting Data'!C27/$V$1</f>
        <v>28.056466</v>
      </c>
      <c r="E14" s="81">
        <f t="shared" si="2"/>
        <v>315.46785599999998</v>
      </c>
      <c r="F14" s="103">
        <f t="shared" si="3"/>
        <v>608.05789299999992</v>
      </c>
      <c r="G14" s="31"/>
      <c r="H14" s="83">
        <f>'Supporting Data'!F41</f>
        <v>0.50272208379308914</v>
      </c>
      <c r="I14" s="76">
        <f t="shared" si="4"/>
        <v>305.68413103579519</v>
      </c>
      <c r="J14" s="82">
        <f t="shared" si="5"/>
        <v>9.1705239310738556</v>
      </c>
      <c r="K14" s="37"/>
      <c r="L14" s="83">
        <f>'Supporting Data'!G41</f>
        <v>0.17565928981862555</v>
      </c>
      <c r="M14" s="81">
        <f t="shared" si="0"/>
        <v>106.81101765298979</v>
      </c>
      <c r="N14" s="82">
        <f t="shared" si="6"/>
        <v>5.3405508826494898</v>
      </c>
      <c r="O14" s="31"/>
      <c r="P14" s="83">
        <f>'Supporting Data'!H41</f>
        <v>0.32161862638828531</v>
      </c>
      <c r="Q14" s="76">
        <f t="shared" si="1"/>
        <v>195.56274431121494</v>
      </c>
      <c r="R14" s="82">
        <f t="shared" si="7"/>
        <v>5.0846313520915887</v>
      </c>
      <c r="S14" s="31"/>
      <c r="T14" s="84">
        <f>J14+N14+R14</f>
        <v>19.595706165814935</v>
      </c>
      <c r="U14" s="38"/>
      <c r="W14" s="39"/>
    </row>
    <row r="15" spans="1:23" s="46" customFormat="1" ht="21" customHeight="1" thickBot="1">
      <c r="A15" s="85" t="s">
        <v>5</v>
      </c>
      <c r="B15" s="86">
        <f>SUM(B5:B14)</f>
        <v>1215.5757230000002</v>
      </c>
      <c r="C15" s="87">
        <f>SUM(C5:C14)</f>
        <v>1433.7177649999999</v>
      </c>
      <c r="D15" s="88">
        <f>SUM(D5:D14)</f>
        <v>1327.360322</v>
      </c>
      <c r="E15" s="87">
        <f>SUM(E5:E14)</f>
        <v>2761.0780869999999</v>
      </c>
      <c r="F15" s="104">
        <f>SUM(F5:F14)</f>
        <v>3976.6538099999998</v>
      </c>
      <c r="G15" s="89"/>
      <c r="H15" s="90"/>
      <c r="I15" s="91">
        <f t="shared" ref="I15:M15" si="9">SUM(I5:I14)</f>
        <v>2087.2623922453477</v>
      </c>
      <c r="J15" s="92">
        <f>I15*W$6</f>
        <v>62.617871767360427</v>
      </c>
      <c r="K15" s="93"/>
      <c r="L15" s="94"/>
      <c r="M15" s="91">
        <f t="shared" si="9"/>
        <v>704.67688076655122</v>
      </c>
      <c r="N15" s="92">
        <f t="shared" si="6"/>
        <v>35.233844038327561</v>
      </c>
      <c r="O15" s="93"/>
      <c r="P15" s="95"/>
      <c r="Q15" s="91">
        <f>SUM(Q5:Q14)</f>
        <v>1184.7145369881018</v>
      </c>
      <c r="R15" s="92">
        <f t="shared" si="7"/>
        <v>30.802577961690645</v>
      </c>
      <c r="S15" s="93"/>
      <c r="T15" s="96">
        <f>SUM(T5:T14)</f>
        <v>128.65429376737862</v>
      </c>
      <c r="U15" s="97"/>
      <c r="W15" s="98"/>
    </row>
    <row r="16" spans="1:23">
      <c r="A16" s="41"/>
      <c r="B16" s="42"/>
      <c r="C16" s="42"/>
      <c r="D16" s="42"/>
      <c r="E16" s="42"/>
      <c r="F16" s="42"/>
      <c r="H16" s="43"/>
      <c r="L16" s="43"/>
      <c r="P16" s="43"/>
      <c r="T16" s="44"/>
      <c r="U16" s="38"/>
    </row>
    <row r="17" spans="1:21">
      <c r="A17" s="41"/>
      <c r="B17" s="42"/>
      <c r="C17" s="42"/>
      <c r="D17" s="42"/>
      <c r="E17" s="42"/>
      <c r="F17" s="42"/>
      <c r="M17" s="58"/>
      <c r="T17" s="45"/>
      <c r="U17" s="38"/>
    </row>
    <row r="18" spans="1:21">
      <c r="A18" s="24" t="s">
        <v>6</v>
      </c>
      <c r="Q18" s="42"/>
      <c r="T18" s="45"/>
    </row>
    <row r="19" spans="1:21">
      <c r="A19" s="115" t="s">
        <v>100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</row>
    <row r="20" spans="1:21" ht="15" customHeight="1">
      <c r="A20" s="115" t="s">
        <v>101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</row>
    <row r="21" spans="1:21" ht="14.4" customHeight="1">
      <c r="A21" s="119" t="s">
        <v>117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1">
      <c r="A22" s="115" t="s">
        <v>102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</row>
    <row r="23" spans="1:21">
      <c r="A23" s="46"/>
      <c r="B23" s="47"/>
      <c r="C23" s="47"/>
      <c r="F23" s="48"/>
      <c r="N23" s="35"/>
      <c r="T23" s="35"/>
    </row>
    <row r="24" spans="1:21">
      <c r="A24" s="47" t="s">
        <v>103</v>
      </c>
      <c r="B24" s="49"/>
      <c r="C24" s="47"/>
      <c r="M24" s="58"/>
      <c r="N24" s="35"/>
      <c r="Q24" s="59"/>
    </row>
    <row r="25" spans="1:21">
      <c r="A25" s="47" t="s">
        <v>104</v>
      </c>
      <c r="B25" s="47"/>
      <c r="C25" s="47"/>
      <c r="N25" s="35"/>
      <c r="Q25" s="59"/>
      <c r="T25" s="60"/>
    </row>
    <row r="26" spans="1:21">
      <c r="A26" s="47" t="s">
        <v>105</v>
      </c>
      <c r="B26" s="50"/>
      <c r="C26" s="50"/>
      <c r="F26" s="48"/>
      <c r="N26" s="35"/>
      <c r="Q26" s="59"/>
      <c r="T26" s="35"/>
    </row>
    <row r="27" spans="1:21">
      <c r="A27" s="61" t="s">
        <v>106</v>
      </c>
      <c r="B27" s="50"/>
      <c r="C27" s="50"/>
      <c r="F27" s="48"/>
      <c r="N27" s="35"/>
      <c r="Q27" s="59"/>
      <c r="T27" s="35"/>
    </row>
    <row r="28" spans="1:21">
      <c r="A28" s="51" t="s">
        <v>118</v>
      </c>
      <c r="B28" s="99"/>
      <c r="C28" s="50"/>
      <c r="N28" s="35"/>
      <c r="Q28" s="59"/>
      <c r="T28" s="35"/>
    </row>
    <row r="29" spans="1:21">
      <c r="A29" s="52"/>
      <c r="B29" s="50"/>
      <c r="C29" s="50"/>
      <c r="N29" s="35"/>
      <c r="Q29" s="59"/>
      <c r="T29" s="35"/>
    </row>
    <row r="30" spans="1:21">
      <c r="A30" s="53"/>
      <c r="B30" s="50"/>
      <c r="C30" s="99"/>
      <c r="D30" s="99"/>
      <c r="F30" s="48"/>
      <c r="Q30" s="59"/>
    </row>
    <row r="31" spans="1:21">
      <c r="B31" s="50"/>
      <c r="C31" s="50"/>
      <c r="F31" s="48"/>
      <c r="H31" s="59"/>
      <c r="Q31" s="59"/>
    </row>
    <row r="32" spans="1:21">
      <c r="B32" s="50"/>
      <c r="C32" s="50"/>
      <c r="I32" s="59"/>
      <c r="Q32" s="59"/>
    </row>
    <row r="33" spans="2:21">
      <c r="B33" s="50"/>
      <c r="C33" s="50"/>
      <c r="Q33" s="59"/>
    </row>
    <row r="34" spans="2:21">
      <c r="B34" s="50"/>
      <c r="C34" s="50"/>
      <c r="D34" s="42"/>
      <c r="E34" s="42"/>
      <c r="Q34" s="59"/>
      <c r="T34" s="54"/>
      <c r="U34" s="26"/>
    </row>
    <row r="35" spans="2:21">
      <c r="B35" s="50"/>
      <c r="C35" s="50"/>
      <c r="D35" s="42"/>
      <c r="E35" s="42"/>
      <c r="Q35" s="59"/>
      <c r="T35" s="54"/>
      <c r="U35" s="26"/>
    </row>
    <row r="36" spans="2:21">
      <c r="B36" s="49"/>
      <c r="C36" s="55"/>
      <c r="D36" s="42"/>
      <c r="E36" s="42"/>
      <c r="Q36" s="59"/>
      <c r="T36" s="54"/>
      <c r="U36" s="26"/>
    </row>
    <row r="37" spans="2:21">
      <c r="B37" s="56"/>
      <c r="C37" s="56"/>
      <c r="D37" s="42"/>
      <c r="E37" s="42"/>
      <c r="Q37" s="59"/>
      <c r="T37" s="54"/>
      <c r="U37" s="26"/>
    </row>
    <row r="38" spans="2:21">
      <c r="C38" s="42"/>
      <c r="D38" s="42"/>
      <c r="E38" s="42"/>
      <c r="Q38" s="59"/>
      <c r="T38" s="54"/>
      <c r="U38" s="26"/>
    </row>
    <row r="39" spans="2:21">
      <c r="C39" s="42"/>
      <c r="D39" s="42"/>
      <c r="E39" s="42"/>
      <c r="Q39" s="59"/>
      <c r="T39" s="54"/>
      <c r="U39" s="26"/>
    </row>
    <row r="40" spans="2:21">
      <c r="C40" s="42"/>
      <c r="D40" s="42"/>
      <c r="E40" s="42"/>
      <c r="Q40" s="59"/>
      <c r="T40" s="54"/>
      <c r="U40" s="26"/>
    </row>
    <row r="41" spans="2:21">
      <c r="C41" s="42"/>
      <c r="D41" s="42"/>
      <c r="E41" s="42"/>
      <c r="Q41" s="59"/>
      <c r="T41" s="54"/>
      <c r="U41" s="26"/>
    </row>
    <row r="42" spans="2:21">
      <c r="C42" s="42"/>
      <c r="D42" s="42"/>
      <c r="E42" s="42"/>
      <c r="F42" s="26"/>
      <c r="T42" s="54"/>
      <c r="U42" s="26"/>
    </row>
    <row r="43" spans="2:21">
      <c r="C43" s="42"/>
      <c r="D43" s="42"/>
      <c r="E43" s="42"/>
      <c r="T43" s="54"/>
      <c r="U43" s="26"/>
    </row>
    <row r="44" spans="2:21">
      <c r="C44" s="42"/>
      <c r="D44" s="42"/>
      <c r="E44" s="42"/>
      <c r="T44" s="54"/>
      <c r="U44" s="26"/>
    </row>
  </sheetData>
  <mergeCells count="8">
    <mergeCell ref="A22:T22"/>
    <mergeCell ref="B3:F3"/>
    <mergeCell ref="H3:J3"/>
    <mergeCell ref="L3:N3"/>
    <mergeCell ref="P3:R3"/>
    <mergeCell ref="A19:T19"/>
    <mergeCell ref="A20:T20"/>
    <mergeCell ref="A21:T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080E-07E2-49F7-A801-B8E5AD1287F3}">
  <dimension ref="A2:L42"/>
  <sheetViews>
    <sheetView workbookViewId="0">
      <selection activeCell="D23" sqref="D23"/>
    </sheetView>
  </sheetViews>
  <sheetFormatPr defaultRowHeight="14.4"/>
  <cols>
    <col min="1" max="1" width="59.5546875" style="10" bestFit="1" customWidth="1"/>
    <col min="2" max="5" width="22.5546875" style="10" customWidth="1"/>
    <col min="6" max="8" width="10.88671875" style="10" customWidth="1"/>
    <col min="9" max="9" width="9.6640625" style="10" customWidth="1"/>
    <col min="10" max="10" width="12.5546875" style="10" bestFit="1" customWidth="1"/>
    <col min="11" max="11" width="12.33203125" style="10" bestFit="1" customWidth="1"/>
    <col min="12" max="12" width="23.5546875" style="10" customWidth="1"/>
    <col min="13" max="14" width="12.33203125" style="10" bestFit="1" customWidth="1"/>
    <col min="15" max="15" width="11.33203125" style="10" bestFit="1" customWidth="1"/>
    <col min="16" max="16" width="12.33203125" style="10" bestFit="1" customWidth="1"/>
    <col min="17" max="16384" width="8.88671875" style="10"/>
  </cols>
  <sheetData>
    <row r="2" spans="1:5">
      <c r="B2" s="120" t="s">
        <v>94</v>
      </c>
      <c r="C2" s="120"/>
      <c r="D2" s="120"/>
      <c r="E2" s="120"/>
    </row>
    <row r="3" spans="1:5">
      <c r="A3" s="21" t="s">
        <v>18</v>
      </c>
      <c r="B3" s="19" t="s">
        <v>85</v>
      </c>
      <c r="C3" s="19" t="s">
        <v>17</v>
      </c>
      <c r="D3" s="19" t="s">
        <v>19</v>
      </c>
      <c r="E3" s="19" t="s">
        <v>5</v>
      </c>
    </row>
    <row r="4" spans="1:5">
      <c r="A4" s="16" t="s">
        <v>7</v>
      </c>
      <c r="B4" s="17">
        <v>2640624</v>
      </c>
      <c r="C4" s="17">
        <v>25368671</v>
      </c>
      <c r="D4" s="17"/>
      <c r="E4" s="17">
        <f>SUM(B4:D4)</f>
        <v>28009295</v>
      </c>
    </row>
    <row r="5" spans="1:5">
      <c r="A5" s="16" t="s">
        <v>8</v>
      </c>
      <c r="B5" s="17">
        <v>20460660</v>
      </c>
      <c r="C5" s="17">
        <v>28391453</v>
      </c>
      <c r="D5" s="17"/>
      <c r="E5" s="17">
        <f t="shared" ref="E5:E13" si="0">SUM(B5:D5)</f>
        <v>48852113</v>
      </c>
    </row>
    <row r="6" spans="1:5">
      <c r="A6" s="16" t="s">
        <v>9</v>
      </c>
      <c r="B6" s="17">
        <v>35745168</v>
      </c>
      <c r="C6" s="17">
        <v>66467783</v>
      </c>
      <c r="D6" s="17"/>
      <c r="E6" s="17">
        <f t="shared" si="0"/>
        <v>102212951</v>
      </c>
    </row>
    <row r="7" spans="1:5">
      <c r="A7" s="16" t="s">
        <v>10</v>
      </c>
      <c r="B7" s="17">
        <v>4947516</v>
      </c>
      <c r="C7" s="17">
        <v>19729730</v>
      </c>
      <c r="D7" s="17"/>
      <c r="E7" s="17">
        <f t="shared" si="0"/>
        <v>24677246</v>
      </c>
    </row>
    <row r="8" spans="1:5">
      <c r="A8" s="16" t="s">
        <v>11</v>
      </c>
      <c r="B8" s="18">
        <v>55059516</v>
      </c>
      <c r="C8" s="18">
        <v>91835424</v>
      </c>
      <c r="D8" s="18">
        <v>97678770</v>
      </c>
      <c r="E8" s="18">
        <f t="shared" si="0"/>
        <v>244573710</v>
      </c>
    </row>
    <row r="9" spans="1:5">
      <c r="A9" s="16" t="s">
        <v>12</v>
      </c>
      <c r="B9" s="18">
        <v>3736476</v>
      </c>
      <c r="C9" s="18">
        <v>19387415</v>
      </c>
      <c r="D9" s="18"/>
      <c r="E9" s="18">
        <f t="shared" si="0"/>
        <v>23123891</v>
      </c>
    </row>
    <row r="10" spans="1:5">
      <c r="A10" s="16" t="s">
        <v>13</v>
      </c>
      <c r="B10" s="18">
        <v>94780932</v>
      </c>
      <c r="C10" s="18">
        <v>141801257</v>
      </c>
      <c r="D10" s="18">
        <v>108959770</v>
      </c>
      <c r="E10" s="18">
        <f t="shared" si="0"/>
        <v>345541959</v>
      </c>
    </row>
    <row r="11" spans="1:5">
      <c r="A11" s="16" t="s">
        <v>14</v>
      </c>
      <c r="B11" s="18">
        <v>10460532</v>
      </c>
      <c r="C11" s="18">
        <v>26594644</v>
      </c>
      <c r="D11" s="18"/>
      <c r="E11" s="18">
        <f t="shared" si="0"/>
        <v>37055176</v>
      </c>
    </row>
    <row r="12" spans="1:5">
      <c r="A12" s="16" t="s">
        <v>15</v>
      </c>
      <c r="B12" s="18">
        <v>15501312</v>
      </c>
      <c r="C12" s="18">
        <v>53438033</v>
      </c>
      <c r="D12" s="18"/>
      <c r="E12" s="18">
        <f t="shared" si="0"/>
        <v>68939345</v>
      </c>
    </row>
    <row r="13" spans="1:5">
      <c r="A13" s="16" t="s">
        <v>16</v>
      </c>
      <c r="B13" s="18">
        <v>143622732</v>
      </c>
      <c r="C13" s="18">
        <v>148967305</v>
      </c>
      <c r="D13" s="18"/>
      <c r="E13" s="18">
        <f t="shared" si="0"/>
        <v>292590037</v>
      </c>
    </row>
    <row r="14" spans="1:5">
      <c r="A14" s="22" t="s">
        <v>24</v>
      </c>
    </row>
    <row r="16" spans="1:5">
      <c r="B16" s="120" t="s">
        <v>88</v>
      </c>
      <c r="C16" s="120"/>
      <c r="D16" s="120"/>
    </row>
    <row r="17" spans="1:12">
      <c r="A17" s="21" t="s">
        <v>18</v>
      </c>
      <c r="B17" s="20" t="s">
        <v>87</v>
      </c>
      <c r="C17" s="20" t="s">
        <v>86</v>
      </c>
      <c r="D17" s="20" t="s">
        <v>4</v>
      </c>
    </row>
    <row r="18" spans="1:12">
      <c r="A18" s="16" t="s">
        <v>7</v>
      </c>
      <c r="B18" s="17">
        <f>ROUND(13985636.6684423,0)</f>
        <v>13985637</v>
      </c>
      <c r="C18" s="17">
        <f>ROUND(11129992.41646,0)</f>
        <v>11129992</v>
      </c>
      <c r="D18" s="17">
        <f>B18+C18</f>
        <v>25115629</v>
      </c>
      <c r="E18" s="11"/>
      <c r="F18" s="11"/>
      <c r="G18" s="11"/>
      <c r="H18" s="11"/>
      <c r="I18" s="11"/>
      <c r="J18" s="11"/>
      <c r="L18" s="11"/>
    </row>
    <row r="19" spans="1:12">
      <c r="A19" s="16" t="s">
        <v>8</v>
      </c>
      <c r="B19" s="17">
        <f>ROUND(62299883.9571703,0)</f>
        <v>62299884</v>
      </c>
      <c r="C19" s="17">
        <f>ROUND(16126051.7621207,0)</f>
        <v>16126052</v>
      </c>
      <c r="D19" s="17">
        <f t="shared" ref="D19:D27" si="1">B19+C19</f>
        <v>78425936</v>
      </c>
      <c r="E19" s="11"/>
      <c r="F19" s="11"/>
      <c r="G19" s="11"/>
      <c r="H19" s="11"/>
      <c r="I19" s="11"/>
      <c r="J19" s="11"/>
      <c r="L19" s="11"/>
    </row>
    <row r="20" spans="1:12">
      <c r="A20" s="16" t="s">
        <v>9</v>
      </c>
      <c r="B20" s="17">
        <f>ROUND(97252066.5762714,0)</f>
        <v>97252067</v>
      </c>
      <c r="C20" s="17">
        <f>ROUND(11025251.8892939,0)</f>
        <v>11025252</v>
      </c>
      <c r="D20" s="17">
        <f t="shared" si="1"/>
        <v>108277319</v>
      </c>
      <c r="E20" s="11"/>
      <c r="F20" s="11"/>
      <c r="G20" s="11"/>
      <c r="H20" s="11"/>
      <c r="I20" s="11"/>
      <c r="J20" s="11"/>
      <c r="L20" s="11"/>
    </row>
    <row r="21" spans="1:12">
      <c r="A21" s="16" t="s">
        <v>10</v>
      </c>
      <c r="B21" s="17">
        <f>ROUND(13109830.5607604,0)</f>
        <v>13109831</v>
      </c>
      <c r="C21" s="17">
        <f>ROUND(11165057.7944539,0)</f>
        <v>11165058</v>
      </c>
      <c r="D21" s="17">
        <f t="shared" si="1"/>
        <v>24274889</v>
      </c>
      <c r="E21" s="11"/>
      <c r="F21" s="11"/>
      <c r="G21" s="11"/>
      <c r="H21" s="11"/>
      <c r="I21" s="11"/>
      <c r="J21" s="11"/>
      <c r="L21" s="11"/>
    </row>
    <row r="22" spans="1:12">
      <c r="A22" s="16" t="s">
        <v>11</v>
      </c>
      <c r="B22" s="17">
        <f>ROUND(239653921.44127,0)</f>
        <v>239653921</v>
      </c>
      <c r="C22" s="17">
        <f>ROUND(304973237.584076,0)</f>
        <v>304973238</v>
      </c>
      <c r="D22" s="17">
        <f t="shared" si="1"/>
        <v>544627159</v>
      </c>
      <c r="E22" s="11"/>
      <c r="F22" s="11"/>
      <c r="G22" s="11"/>
      <c r="H22" s="11"/>
      <c r="I22" s="11"/>
      <c r="J22" s="11"/>
      <c r="L22" s="11"/>
    </row>
    <row r="23" spans="1:12">
      <c r="A23" s="16" t="s">
        <v>12</v>
      </c>
      <c r="B23" s="17">
        <f>ROUND(10140214.3017503,0)</f>
        <v>10140214</v>
      </c>
      <c r="C23" s="17">
        <f>ROUND(32827080.3440306,0)</f>
        <v>32827080</v>
      </c>
      <c r="D23" s="17">
        <f t="shared" si="1"/>
        <v>42967294</v>
      </c>
      <c r="E23" s="11"/>
      <c r="F23" s="11"/>
      <c r="G23" s="11"/>
      <c r="H23" s="11"/>
      <c r="I23" s="11"/>
      <c r="J23" s="11"/>
      <c r="L23" s="11"/>
    </row>
    <row r="24" spans="1:12">
      <c r="A24" s="16" t="s">
        <v>13</v>
      </c>
      <c r="B24" s="17">
        <f>ROUND(574713887.415911,0)</f>
        <v>574713887</v>
      </c>
      <c r="C24" s="17">
        <f>ROUND(759177704.480983,0)</f>
        <v>759177704</v>
      </c>
      <c r="D24" s="17">
        <f t="shared" si="1"/>
        <v>1333891591</v>
      </c>
      <c r="E24" s="11"/>
      <c r="F24" s="11"/>
      <c r="G24" s="11"/>
      <c r="H24" s="11"/>
      <c r="I24" s="11"/>
      <c r="J24" s="11"/>
      <c r="L24" s="11"/>
    </row>
    <row r="25" spans="1:12">
      <c r="A25" s="16" t="s">
        <v>14</v>
      </c>
      <c r="B25" s="17">
        <f>ROUND(79893521.6118646,0)</f>
        <v>79893522</v>
      </c>
      <c r="C25" s="17">
        <f>ROUND(133812513.740885,0)</f>
        <v>133812514</v>
      </c>
      <c r="D25" s="17">
        <f t="shared" si="1"/>
        <v>213706036</v>
      </c>
      <c r="E25" s="11"/>
      <c r="F25" s="11"/>
      <c r="G25" s="11"/>
      <c r="H25" s="11"/>
      <c r="I25" s="11"/>
      <c r="J25" s="11"/>
      <c r="L25" s="11"/>
    </row>
    <row r="26" spans="1:12">
      <c r="A26" s="16" t="s">
        <v>15</v>
      </c>
      <c r="B26" s="17">
        <f>ROUND(55257412.1317879,0)</f>
        <v>55257412</v>
      </c>
      <c r="C26" s="17">
        <f>ROUND(19066966.0626786,0)</f>
        <v>19066966</v>
      </c>
      <c r="D26" s="17">
        <f t="shared" si="1"/>
        <v>74324378</v>
      </c>
      <c r="E26" s="11"/>
      <c r="F26" s="11"/>
      <c r="G26" s="11"/>
      <c r="H26" s="11"/>
      <c r="I26" s="11"/>
      <c r="J26" s="11"/>
      <c r="L26" s="11"/>
    </row>
    <row r="27" spans="1:12">
      <c r="A27" s="16" t="s">
        <v>16</v>
      </c>
      <c r="B27" s="17">
        <f>ROUND(287411389.693484,0)</f>
        <v>287411390</v>
      </c>
      <c r="C27" s="17">
        <f>ROUND(28056466.2450971,0)</f>
        <v>28056466</v>
      </c>
      <c r="D27" s="17">
        <f t="shared" si="1"/>
        <v>315467856</v>
      </c>
      <c r="E27" s="11"/>
      <c r="F27" s="11"/>
      <c r="G27" s="11"/>
      <c r="H27" s="11"/>
      <c r="I27" s="11"/>
      <c r="J27" s="11"/>
      <c r="L27" s="11"/>
    </row>
    <row r="28" spans="1:12">
      <c r="A28" s="23" t="s">
        <v>93</v>
      </c>
    </row>
    <row r="30" spans="1:12">
      <c r="B30" s="121" t="s">
        <v>89</v>
      </c>
      <c r="C30" s="121"/>
      <c r="D30" s="121"/>
    </row>
    <row r="31" spans="1:12">
      <c r="A31" s="12" t="s">
        <v>18</v>
      </c>
      <c r="B31" s="15" t="s">
        <v>90</v>
      </c>
      <c r="C31" s="15" t="s">
        <v>91</v>
      </c>
      <c r="D31" s="15" t="s">
        <v>92</v>
      </c>
      <c r="F31" s="12" t="s">
        <v>21</v>
      </c>
      <c r="G31" s="12" t="s">
        <v>22</v>
      </c>
      <c r="H31" s="12" t="s">
        <v>23</v>
      </c>
    </row>
    <row r="32" spans="1:12">
      <c r="A32" s="16" t="s">
        <v>7</v>
      </c>
      <c r="B32" s="18">
        <f>'Salary + Benefits Data'!B20</f>
        <v>20964027</v>
      </c>
      <c r="C32" s="18">
        <f>'Salary + Benefits Data'!B25</f>
        <v>7085604.5599999996</v>
      </c>
      <c r="D32" s="18">
        <f>'Salary + Benefits Data'!B33-SUM('Supporting Data'!B32:C32)</f>
        <v>10354219.100000005</v>
      </c>
      <c r="E32" s="14"/>
      <c r="F32" s="13">
        <f>B32/SUM($B32:$D32)</f>
        <v>0.54588346323915216</v>
      </c>
      <c r="G32" s="13">
        <f t="shared" ref="G32:G41" si="2">C32/SUM(B32:D32)</f>
        <v>0.18450245061962228</v>
      </c>
      <c r="H32" s="13">
        <f t="shared" ref="H32:H41" si="3">D32/SUM(B32:D32)</f>
        <v>0.26961408614122562</v>
      </c>
    </row>
    <row r="33" spans="1:8">
      <c r="A33" s="16" t="s">
        <v>8</v>
      </c>
      <c r="B33" s="18">
        <f>'Salary + Benefits Data'!C20</f>
        <v>56746601</v>
      </c>
      <c r="C33" s="18">
        <f>'Salary + Benefits Data'!C25</f>
        <v>19675231</v>
      </c>
      <c r="D33" s="18">
        <f>'Salary + Benefits Data'!C33-SUM('Supporting Data'!B33:C33)</f>
        <v>33694759</v>
      </c>
      <c r="E33" s="14"/>
      <c r="F33" s="13">
        <f t="shared" ref="F33:F41" si="4">B33/SUM($B33:$D33)</f>
        <v>0.51533198117257373</v>
      </c>
      <c r="G33" s="13">
        <f t="shared" si="2"/>
        <v>0.17867635404732063</v>
      </c>
      <c r="H33" s="13">
        <f t="shared" si="3"/>
        <v>0.30599166478010564</v>
      </c>
    </row>
    <row r="34" spans="1:8">
      <c r="A34" s="16" t="s">
        <v>9</v>
      </c>
      <c r="B34" s="18">
        <f>'Salary + Benefits Data'!D20</f>
        <v>122091417.72</v>
      </c>
      <c r="C34" s="18">
        <f>'Salary + Benefits Data'!D25</f>
        <v>32690110.300000001</v>
      </c>
      <c r="D34" s="18">
        <f>'Salary + Benefits Data'!D33-SUM('Supporting Data'!B34:C34)</f>
        <v>56929898.099999994</v>
      </c>
      <c r="E34" s="14"/>
      <c r="F34" s="13">
        <f t="shared" si="4"/>
        <v>0.57668789992845004</v>
      </c>
      <c r="G34" s="13">
        <f t="shared" si="2"/>
        <v>0.15440881438997506</v>
      </c>
      <c r="H34" s="13">
        <f t="shared" si="3"/>
        <v>0.2689032856815749</v>
      </c>
    </row>
    <row r="35" spans="1:8">
      <c r="A35" s="16" t="s">
        <v>10</v>
      </c>
      <c r="B35" s="18">
        <f>'Salary + Benefits Data'!E20</f>
        <v>18556983.870000001</v>
      </c>
      <c r="C35" s="18">
        <f>'Salary + Benefits Data'!E25</f>
        <v>6277185.0499999998</v>
      </c>
      <c r="D35" s="18">
        <f>'Salary + Benefits Data'!E33-SUM('Supporting Data'!B35:C35)</f>
        <v>10732414.420000002</v>
      </c>
      <c r="E35" s="14"/>
      <c r="F35" s="13">
        <f t="shared" si="4"/>
        <v>0.52175334618464364</v>
      </c>
      <c r="G35" s="13">
        <f t="shared" si="2"/>
        <v>0.1764910896836232</v>
      </c>
      <c r="H35" s="13">
        <f t="shared" si="3"/>
        <v>0.3017555641317331</v>
      </c>
    </row>
    <row r="36" spans="1:8">
      <c r="A36" s="16" t="s">
        <v>11</v>
      </c>
      <c r="B36" s="18">
        <f>'Salary + Benefits Data'!F20</f>
        <v>428785144</v>
      </c>
      <c r="C36" s="18">
        <f>'Salary + Benefits Data'!F25</f>
        <v>123269040</v>
      </c>
      <c r="D36" s="18">
        <f>'Salary + Benefits Data'!F33-SUM('Supporting Data'!B36:C36)</f>
        <v>290099694</v>
      </c>
      <c r="E36" s="14"/>
      <c r="F36" s="13">
        <f t="shared" si="4"/>
        <v>0.50915296503568441</v>
      </c>
      <c r="G36" s="13">
        <f t="shared" si="2"/>
        <v>0.14637353483753715</v>
      </c>
      <c r="H36" s="13">
        <f t="shared" si="3"/>
        <v>0.34447350012677852</v>
      </c>
    </row>
    <row r="37" spans="1:8">
      <c r="A37" s="16" t="s">
        <v>12</v>
      </c>
      <c r="B37" s="18">
        <f>'Salary + Benefits Data'!M20</f>
        <v>31570406</v>
      </c>
      <c r="C37" s="18">
        <f>'Salary + Benefits Data'!M25</f>
        <v>10357534</v>
      </c>
      <c r="D37" s="18">
        <f>'Salary + Benefits Data'!M33-SUM('Supporting Data'!B37:C37)</f>
        <v>19307975</v>
      </c>
      <c r="E37" s="14"/>
      <c r="F37" s="13">
        <f t="shared" si="4"/>
        <v>0.51555375632094336</v>
      </c>
      <c r="G37" s="13">
        <f t="shared" si="2"/>
        <v>0.16914149155769126</v>
      </c>
      <c r="H37" s="13">
        <f t="shared" si="3"/>
        <v>0.31530475212136538</v>
      </c>
    </row>
    <row r="38" spans="1:8">
      <c r="A38" s="16" t="s">
        <v>13</v>
      </c>
      <c r="B38" s="18">
        <f>'Salary + Benefits Data'!N20</f>
        <v>950302426.1100533</v>
      </c>
      <c r="C38" s="18">
        <f>'Salary + Benefits Data'!N25</f>
        <v>353728512.91603923</v>
      </c>
      <c r="D38" s="18">
        <f>'Salary + Benefits Data'!N33-SUM('Supporting Data'!B38:C38)</f>
        <v>464802932.32450008</v>
      </c>
      <c r="E38" s="14"/>
      <c r="F38" s="13">
        <f t="shared" si="4"/>
        <v>0.53724798100143245</v>
      </c>
      <c r="G38" s="13">
        <f t="shared" si="2"/>
        <v>0.19997836916473671</v>
      </c>
      <c r="H38" s="13">
        <f t="shared" si="3"/>
        <v>0.26277364983383089</v>
      </c>
    </row>
    <row r="39" spans="1:8">
      <c r="A39" s="16" t="s">
        <v>14</v>
      </c>
      <c r="B39" s="18">
        <f>'Salary + Benefits Data'!S20</f>
        <v>124980177</v>
      </c>
      <c r="C39" s="18">
        <f>'Salary + Benefits Data'!S25</f>
        <v>40115186</v>
      </c>
      <c r="D39" s="18">
        <f>'Salary + Benefits Data'!S33-SUM('Supporting Data'!B39:C39)</f>
        <v>87266107</v>
      </c>
      <c r="E39" s="14"/>
      <c r="F39" s="13">
        <f t="shared" si="4"/>
        <v>0.49524270483921334</v>
      </c>
      <c r="G39" s="13">
        <f t="shared" si="2"/>
        <v>0.15895923414933349</v>
      </c>
      <c r="H39" s="13">
        <f t="shared" si="3"/>
        <v>0.34579806101145316</v>
      </c>
    </row>
    <row r="40" spans="1:8">
      <c r="A40" s="16" t="s">
        <v>15</v>
      </c>
      <c r="B40" s="18">
        <f>'Salary + Benefits Data'!T20</f>
        <v>82389703</v>
      </c>
      <c r="C40" s="18">
        <f>'Salary + Benefits Data'!T25</f>
        <v>23086875</v>
      </c>
      <c r="D40" s="18">
        <f>'Salary + Benefits Data'!T33-SUM('Supporting Data'!B40:C40)</f>
        <v>46429753</v>
      </c>
      <c r="E40" s="14"/>
      <c r="F40" s="13">
        <f t="shared" si="4"/>
        <v>0.54237175276124605</v>
      </c>
      <c r="G40" s="13">
        <f t="shared" si="2"/>
        <v>0.15198099281326202</v>
      </c>
      <c r="H40" s="13">
        <f t="shared" si="3"/>
        <v>0.30564725442549201</v>
      </c>
    </row>
    <row r="41" spans="1:8">
      <c r="A41" s="16" t="s">
        <v>16</v>
      </c>
      <c r="B41" s="18">
        <f>'Salary + Benefits Data'!U20</f>
        <v>305476807.04635</v>
      </c>
      <c r="C41" s="18">
        <f>'Salary + Benefits Data'!U25</f>
        <v>106738575.27195586</v>
      </c>
      <c r="D41" s="18">
        <f>'Salary + Benefits Data'!U33-SUM('Supporting Data'!B41:C41)</f>
        <v>195430107.89269996</v>
      </c>
      <c r="F41" s="13">
        <f t="shared" si="4"/>
        <v>0.50272208379308914</v>
      </c>
      <c r="G41" s="13">
        <f t="shared" si="2"/>
        <v>0.17565928981862555</v>
      </c>
      <c r="H41" s="13">
        <f t="shared" si="3"/>
        <v>0.32161862638828531</v>
      </c>
    </row>
    <row r="42" spans="1:8">
      <c r="A42" s="23" t="s">
        <v>25</v>
      </c>
      <c r="B42" s="10" t="s">
        <v>20</v>
      </c>
    </row>
  </sheetData>
  <mergeCells count="3">
    <mergeCell ref="B16:D16"/>
    <mergeCell ref="B30:D30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6A04-EC28-4EEE-8F08-FEDF21042897}">
  <dimension ref="A1:AI39"/>
  <sheetViews>
    <sheetView zoomScale="120" zoomScaleNormal="12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ColWidth="8.6640625" defaultRowHeight="13.8"/>
  <cols>
    <col min="1" max="1" width="38" style="1" customWidth="1"/>
    <col min="2" max="20" width="14.109375" style="1" customWidth="1"/>
    <col min="21" max="21" width="14.109375" style="2" customWidth="1"/>
    <col min="22" max="35" width="14.109375" style="1" customWidth="1"/>
    <col min="36" max="16384" width="8.6640625" style="1"/>
  </cols>
  <sheetData>
    <row r="1" spans="1:35" s="9" customFormat="1">
      <c r="B1" s="4" t="s">
        <v>26</v>
      </c>
      <c r="C1" s="4" t="s">
        <v>27</v>
      </c>
      <c r="D1" s="4" t="s">
        <v>28</v>
      </c>
      <c r="E1" s="4" t="s">
        <v>29</v>
      </c>
      <c r="F1" s="4" t="s">
        <v>77</v>
      </c>
      <c r="G1" s="9" t="s">
        <v>78</v>
      </c>
      <c r="H1" s="9" t="s">
        <v>79</v>
      </c>
      <c r="I1" s="9" t="s">
        <v>80</v>
      </c>
      <c r="J1" s="9" t="s">
        <v>81</v>
      </c>
      <c r="K1" s="9" t="s">
        <v>82</v>
      </c>
      <c r="L1" s="9" t="s">
        <v>83</v>
      </c>
      <c r="M1" s="4" t="s">
        <v>30</v>
      </c>
      <c r="N1" s="4" t="s">
        <v>76</v>
      </c>
      <c r="O1" s="9" t="s">
        <v>31</v>
      </c>
      <c r="P1" s="9" t="s">
        <v>32</v>
      </c>
      <c r="Q1" s="9" t="s">
        <v>33</v>
      </c>
      <c r="R1" s="9" t="s">
        <v>34</v>
      </c>
      <c r="S1" s="4" t="s">
        <v>35</v>
      </c>
      <c r="T1" s="4" t="s">
        <v>36</v>
      </c>
      <c r="U1" s="4" t="s">
        <v>75</v>
      </c>
      <c r="V1" s="9" t="s">
        <v>38</v>
      </c>
      <c r="W1" s="9" t="s">
        <v>39</v>
      </c>
      <c r="X1" s="9" t="s">
        <v>40</v>
      </c>
      <c r="Y1" s="9" t="s">
        <v>41</v>
      </c>
      <c r="Z1" s="9" t="s">
        <v>42</v>
      </c>
      <c r="AA1" s="9" t="s">
        <v>43</v>
      </c>
      <c r="AB1" s="9" t="s">
        <v>44</v>
      </c>
      <c r="AC1" s="9" t="s">
        <v>45</v>
      </c>
      <c r="AD1" s="9" t="s">
        <v>46</v>
      </c>
      <c r="AE1" s="9" t="s">
        <v>47</v>
      </c>
      <c r="AF1" s="9" t="s">
        <v>48</v>
      </c>
      <c r="AG1" s="9" t="s">
        <v>49</v>
      </c>
      <c r="AH1" s="9" t="s">
        <v>50</v>
      </c>
      <c r="AI1" s="9" t="s">
        <v>37</v>
      </c>
    </row>
    <row r="2" spans="1:35">
      <c r="A2" s="3" t="s">
        <v>51</v>
      </c>
      <c r="B2" s="107">
        <v>8246608</v>
      </c>
      <c r="C2" s="107">
        <v>24481669</v>
      </c>
      <c r="D2" s="107">
        <v>53474296.726776607</v>
      </c>
      <c r="E2" s="107">
        <v>7000975.2599999998</v>
      </c>
      <c r="F2" s="107">
        <f>SUM(G2:L2)</f>
        <v>161394290</v>
      </c>
      <c r="G2" s="2">
        <v>124763073</v>
      </c>
      <c r="H2" s="2">
        <v>11915000</v>
      </c>
      <c r="I2" s="2">
        <v>17626781</v>
      </c>
      <c r="J2" s="2">
        <v>7089436</v>
      </c>
      <c r="K2" s="2">
        <v>0</v>
      </c>
      <c r="L2" s="2">
        <v>0</v>
      </c>
      <c r="M2" s="107">
        <v>14472463</v>
      </c>
      <c r="N2" s="108">
        <f>SUM(O2:R2)</f>
        <v>413265266.2376976</v>
      </c>
      <c r="O2" s="7">
        <v>62247605</v>
      </c>
      <c r="P2" s="7">
        <v>248359030.45934993</v>
      </c>
      <c r="Q2" s="7">
        <v>57130695.778347656</v>
      </c>
      <c r="R2" s="7">
        <v>45527935</v>
      </c>
      <c r="S2" s="111">
        <v>40956417</v>
      </c>
      <c r="T2" s="111">
        <v>31223428</v>
      </c>
      <c r="U2" s="111">
        <f>SUM(V2:AI2)</f>
        <v>80354524.702799976</v>
      </c>
      <c r="V2" s="1">
        <v>10163870</v>
      </c>
      <c r="W2" s="1">
        <v>5354189</v>
      </c>
      <c r="X2" s="1">
        <v>8427997.4100000001</v>
      </c>
      <c r="Y2" s="1">
        <v>2348849</v>
      </c>
      <c r="Z2" s="1">
        <v>16936525</v>
      </c>
      <c r="AA2" s="1">
        <v>1174124.82</v>
      </c>
      <c r="AB2" s="1">
        <v>2669709</v>
      </c>
      <c r="AC2" s="1">
        <v>2176525.0499999998</v>
      </c>
      <c r="AD2" s="1">
        <v>1787792.44</v>
      </c>
      <c r="AE2" s="1">
        <v>5972615.6327999998</v>
      </c>
      <c r="AF2" s="1">
        <v>13905253</v>
      </c>
      <c r="AG2" s="1">
        <v>7273744.7199999997</v>
      </c>
      <c r="AH2" s="1">
        <v>2163329.63</v>
      </c>
      <c r="AI2" s="1">
        <v>0</v>
      </c>
    </row>
    <row r="3" spans="1:35">
      <c r="A3" s="3" t="s">
        <v>52</v>
      </c>
      <c r="B3" s="107">
        <v>3086032.82</v>
      </c>
      <c r="C3" s="107">
        <v>8652318</v>
      </c>
      <c r="D3" s="107">
        <v>14771382.66</v>
      </c>
      <c r="E3" s="107">
        <v>2627621.5</v>
      </c>
      <c r="F3" s="107">
        <f>SUM(G3:L3)</f>
        <v>46466207</v>
      </c>
      <c r="G3" s="2">
        <v>34936750</v>
      </c>
      <c r="H3" s="2">
        <v>4602000</v>
      </c>
      <c r="I3" s="2">
        <v>4935499</v>
      </c>
      <c r="J3" s="2">
        <v>1991958</v>
      </c>
      <c r="K3" s="2">
        <v>0</v>
      </c>
      <c r="L3" s="2">
        <v>0</v>
      </c>
      <c r="M3" s="107">
        <v>4819330.1790000005</v>
      </c>
      <c r="N3" s="108">
        <f t="shared" ref="N3:N18" si="0">SUM(O3:R3)</f>
        <v>128136592.23195347</v>
      </c>
      <c r="O3" s="7">
        <v>18095818</v>
      </c>
      <c r="P3" s="7">
        <v>76370134.799849957</v>
      </c>
      <c r="Q3" s="7">
        <v>18198190.432103522</v>
      </c>
      <c r="R3" s="7">
        <v>15472449</v>
      </c>
      <c r="S3" s="111">
        <v>16574472</v>
      </c>
      <c r="T3" s="111">
        <v>10107377</v>
      </c>
      <c r="U3" s="111">
        <f t="shared" ref="U3:U9" si="1">SUM(V3:AI3)</f>
        <v>31143053.825199988</v>
      </c>
      <c r="V3" s="1">
        <v>3760632</v>
      </c>
      <c r="W3" s="1">
        <v>2034588</v>
      </c>
      <c r="X3" s="1">
        <v>3344058.7600000002</v>
      </c>
      <c r="Y3" s="1">
        <v>813750</v>
      </c>
      <c r="Z3" s="1">
        <v>6519038</v>
      </c>
      <c r="AA3" s="1">
        <v>660220.07999999996</v>
      </c>
      <c r="AB3" s="1">
        <v>1144161</v>
      </c>
      <c r="AC3" s="1">
        <v>985071.78</v>
      </c>
      <c r="AD3" s="1">
        <v>970360.18</v>
      </c>
      <c r="AE3" s="1">
        <v>2292453.8351999857</v>
      </c>
      <c r="AF3" s="1">
        <v>5423048</v>
      </c>
      <c r="AG3" s="1">
        <v>2172676.9900000002</v>
      </c>
      <c r="AH3" s="1">
        <v>1022995.2</v>
      </c>
      <c r="AI3" s="1">
        <v>0</v>
      </c>
    </row>
    <row r="4" spans="1:35">
      <c r="A4" s="3" t="s">
        <v>53</v>
      </c>
      <c r="B4" s="107">
        <v>2364121</v>
      </c>
      <c r="C4" s="107">
        <v>5633396</v>
      </c>
      <c r="D4" s="107">
        <v>9535108.1677694451</v>
      </c>
      <c r="E4" s="107">
        <v>302207.40000000002</v>
      </c>
      <c r="F4" s="107">
        <f t="shared" ref="F4:F16" si="2">SUM(G4:L4)</f>
        <v>22146907</v>
      </c>
      <c r="G4" s="2">
        <v>20538301</v>
      </c>
      <c r="H4" s="2">
        <v>1575150</v>
      </c>
      <c r="I4" s="2">
        <v>33456</v>
      </c>
      <c r="J4" s="2">
        <v>0</v>
      </c>
      <c r="K4" s="2">
        <v>0</v>
      </c>
      <c r="L4" s="2">
        <v>0</v>
      </c>
      <c r="M4" s="107">
        <v>1271349</v>
      </c>
      <c r="N4" s="108">
        <f t="shared" si="0"/>
        <v>68126243.853500009</v>
      </c>
      <c r="O4" s="7">
        <v>8340330</v>
      </c>
      <c r="P4" s="7">
        <v>48690267.853500001</v>
      </c>
      <c r="Q4" s="7">
        <v>7362495</v>
      </c>
      <c r="R4" s="7">
        <v>3733151</v>
      </c>
      <c r="S4" s="111">
        <v>3843838</v>
      </c>
      <c r="T4" s="111">
        <v>4197154</v>
      </c>
      <c r="U4" s="111">
        <f t="shared" si="1"/>
        <v>51868843.936400004</v>
      </c>
      <c r="V4" s="1">
        <v>6153665.0999999996</v>
      </c>
      <c r="W4" s="1">
        <v>2405000</v>
      </c>
      <c r="X4" s="1">
        <v>5481645.8000000007</v>
      </c>
      <c r="Y4" s="1">
        <v>644979</v>
      </c>
      <c r="Z4" s="1">
        <v>14018907</v>
      </c>
      <c r="AA4" s="1">
        <v>374479.59</v>
      </c>
      <c r="AB4" s="1">
        <v>1215235</v>
      </c>
      <c r="AC4" s="1">
        <v>460000</v>
      </c>
      <c r="AD4" s="1">
        <v>677500</v>
      </c>
      <c r="AE4" s="1">
        <v>3777961.3064000043</v>
      </c>
      <c r="AF4" s="1">
        <v>10971992.91</v>
      </c>
      <c r="AG4" s="1">
        <v>4192485.0000000005</v>
      </c>
      <c r="AH4" s="1">
        <v>1494993.23</v>
      </c>
      <c r="AI4" s="1">
        <v>0</v>
      </c>
    </row>
    <row r="5" spans="1:35">
      <c r="A5" s="3" t="s">
        <v>54</v>
      </c>
      <c r="B5" s="107">
        <v>335600.98</v>
      </c>
      <c r="C5" s="107">
        <v>1838034</v>
      </c>
      <c r="D5" s="107">
        <v>2477742</v>
      </c>
      <c r="E5" s="107">
        <v>41946.73</v>
      </c>
      <c r="F5" s="107">
        <f t="shared" si="2"/>
        <v>2168554</v>
      </c>
      <c r="G5" s="2">
        <v>1951737</v>
      </c>
      <c r="H5" s="2">
        <v>212200</v>
      </c>
      <c r="I5" s="2">
        <v>4617</v>
      </c>
      <c r="J5" s="2">
        <v>0</v>
      </c>
      <c r="K5" s="2">
        <v>0</v>
      </c>
      <c r="L5" s="2">
        <v>0</v>
      </c>
      <c r="M5" s="107">
        <v>423359.82999999949</v>
      </c>
      <c r="N5" s="108">
        <f t="shared" si="0"/>
        <v>48201047.454750016</v>
      </c>
      <c r="O5" s="7">
        <v>2507144</v>
      </c>
      <c r="P5" s="7">
        <v>42337736.454750016</v>
      </c>
      <c r="Q5" s="7">
        <v>2663351</v>
      </c>
      <c r="R5" s="7">
        <v>692816</v>
      </c>
      <c r="S5" s="111">
        <v>744487</v>
      </c>
      <c r="T5" s="111">
        <v>384602</v>
      </c>
      <c r="U5" s="111">
        <f t="shared" si="1"/>
        <v>12201573.31603086</v>
      </c>
      <c r="V5" s="1">
        <v>1444289.15</v>
      </c>
      <c r="W5" s="1">
        <v>617250</v>
      </c>
      <c r="X5" s="1">
        <v>1190689.2400000002</v>
      </c>
      <c r="Y5" s="1">
        <v>104019</v>
      </c>
      <c r="Z5" s="1">
        <v>3574836</v>
      </c>
      <c r="AA5" s="1">
        <v>85943.07</v>
      </c>
      <c r="AB5" s="1">
        <v>165310</v>
      </c>
      <c r="AC5" s="1">
        <v>100000</v>
      </c>
      <c r="AD5" s="1">
        <v>164000</v>
      </c>
      <c r="AE5" s="1">
        <v>846028.87700001232</v>
      </c>
      <c r="AF5" s="1">
        <v>2647237.8290308462</v>
      </c>
      <c r="AG5" s="1">
        <v>964271.55</v>
      </c>
      <c r="AH5" s="1">
        <v>297698.59999999998</v>
      </c>
      <c r="AI5" s="1">
        <v>0</v>
      </c>
    </row>
    <row r="6" spans="1:35">
      <c r="A6" s="3" t="s">
        <v>55</v>
      </c>
      <c r="B6" s="107">
        <v>14032362.800000001</v>
      </c>
      <c r="C6" s="107">
        <v>40605417</v>
      </c>
      <c r="D6" s="107">
        <v>80258529.554546058</v>
      </c>
      <c r="E6" s="107">
        <v>9972750.8900000006</v>
      </c>
      <c r="F6" s="107">
        <f t="shared" si="2"/>
        <v>232175958</v>
      </c>
      <c r="G6" s="2">
        <v>182189861</v>
      </c>
      <c r="H6" s="2">
        <v>18304350</v>
      </c>
      <c r="I6" s="2">
        <v>22600353</v>
      </c>
      <c r="J6" s="2">
        <v>9081394</v>
      </c>
      <c r="K6" s="2">
        <v>0</v>
      </c>
      <c r="L6" s="2">
        <v>0</v>
      </c>
      <c r="M6" s="107">
        <v>20986502.009</v>
      </c>
      <c r="N6" s="108">
        <f t="shared" si="0"/>
        <v>657729149.77790105</v>
      </c>
      <c r="O6" s="7">
        <v>91190897</v>
      </c>
      <c r="P6" s="7">
        <v>415757169.56744987</v>
      </c>
      <c r="Q6" s="7">
        <v>85354732.210451186</v>
      </c>
      <c r="R6" s="7">
        <v>65426351</v>
      </c>
      <c r="S6" s="111">
        <v>62119214</v>
      </c>
      <c r="T6" s="111">
        <v>45912561</v>
      </c>
      <c r="U6" s="111">
        <f t="shared" si="1"/>
        <v>175567995.78043085</v>
      </c>
      <c r="V6" s="1">
        <v>21522456.25</v>
      </c>
      <c r="W6" s="1">
        <v>10411027</v>
      </c>
      <c r="X6" s="1">
        <v>18444391.210000001</v>
      </c>
      <c r="Y6" s="1">
        <v>3911597</v>
      </c>
      <c r="Z6" s="1">
        <v>41049306</v>
      </c>
      <c r="AA6" s="1">
        <v>2294767.5599999996</v>
      </c>
      <c r="AB6" s="1">
        <v>5194415</v>
      </c>
      <c r="AC6" s="1">
        <v>3721596.83</v>
      </c>
      <c r="AD6" s="1">
        <v>3599652.62</v>
      </c>
      <c r="AE6" s="1">
        <v>12889059.651400002</v>
      </c>
      <c r="AF6" s="1">
        <v>32947531.739030845</v>
      </c>
      <c r="AG6" s="1">
        <v>14603178.260000002</v>
      </c>
      <c r="AH6" s="1">
        <v>4979016.66</v>
      </c>
      <c r="AI6" s="1">
        <v>0</v>
      </c>
    </row>
    <row r="7" spans="1:35">
      <c r="A7" s="3" t="s">
        <v>56</v>
      </c>
      <c r="B7" s="107">
        <v>6883291</v>
      </c>
      <c r="C7" s="107">
        <v>19845328</v>
      </c>
      <c r="D7" s="107">
        <v>52652999.575446077</v>
      </c>
      <c r="E7" s="107">
        <v>8732316.6699999999</v>
      </c>
      <c r="F7" s="107">
        <f t="shared" si="2"/>
        <v>188190632</v>
      </c>
      <c r="G7" s="2">
        <v>130497759</v>
      </c>
      <c r="H7" s="2">
        <v>8134000</v>
      </c>
      <c r="I7" s="2">
        <v>24187040</v>
      </c>
      <c r="J7" s="2">
        <v>7649331</v>
      </c>
      <c r="K7" s="2">
        <v>14794686</v>
      </c>
      <c r="L7" s="2">
        <v>2927816</v>
      </c>
      <c r="M7" s="107">
        <v>12286171</v>
      </c>
      <c r="N7" s="108">
        <f t="shared" si="0"/>
        <v>388020847.78813857</v>
      </c>
      <c r="O7" s="7">
        <v>100324397</v>
      </c>
      <c r="P7" s="7">
        <v>189840357.08179998</v>
      </c>
      <c r="Q7" s="7">
        <v>56741052.097970411</v>
      </c>
      <c r="R7" s="7">
        <v>41115041.608368173</v>
      </c>
      <c r="S7" s="111">
        <v>46284665</v>
      </c>
      <c r="T7" s="111">
        <v>27922673</v>
      </c>
      <c r="U7" s="111">
        <f t="shared" si="1"/>
        <v>129313323.33679999</v>
      </c>
      <c r="V7" s="1">
        <v>13901500.979999999</v>
      </c>
      <c r="W7" s="1">
        <v>10796825.170000002</v>
      </c>
      <c r="X7" s="1">
        <v>11839437.630000001</v>
      </c>
      <c r="Y7" s="1">
        <v>3384225</v>
      </c>
      <c r="Z7" s="1">
        <v>19936645</v>
      </c>
      <c r="AA7" s="1">
        <v>2201386.2800000003</v>
      </c>
      <c r="AB7" s="1">
        <v>3592544</v>
      </c>
      <c r="AC7" s="1">
        <v>3596805.02</v>
      </c>
      <c r="AD7" s="1">
        <v>3556510.77</v>
      </c>
      <c r="AE7" s="1">
        <v>7079480.9038000023</v>
      </c>
      <c r="AF7" s="1">
        <v>14161861.223000001</v>
      </c>
      <c r="AG7" s="1">
        <v>10139485</v>
      </c>
      <c r="AH7" s="1">
        <v>3558575.3600000003</v>
      </c>
      <c r="AI7" s="1">
        <v>21568041</v>
      </c>
    </row>
    <row r="8" spans="1:35">
      <c r="A8" s="3" t="s">
        <v>57</v>
      </c>
      <c r="B8" s="107">
        <v>2042685.76</v>
      </c>
      <c r="C8" s="107">
        <v>6991287</v>
      </c>
      <c r="D8" s="107">
        <v>14216011.489999998</v>
      </c>
      <c r="E8" s="107">
        <v>2824218.9699999997</v>
      </c>
      <c r="F8" s="107">
        <f t="shared" si="2"/>
        <v>49428849</v>
      </c>
      <c r="G8" s="2">
        <v>33515328</v>
      </c>
      <c r="H8" s="2">
        <v>2437143</v>
      </c>
      <c r="I8" s="2">
        <v>6437967</v>
      </c>
      <c r="J8" s="2">
        <v>2107851</v>
      </c>
      <c r="K8" s="2">
        <v>4098772</v>
      </c>
      <c r="L8" s="2">
        <v>831788</v>
      </c>
      <c r="M8" s="107">
        <v>4078513.9909999999</v>
      </c>
      <c r="N8" s="108">
        <f t="shared" si="0"/>
        <v>147667359.54349238</v>
      </c>
      <c r="O8" s="7">
        <v>38589721</v>
      </c>
      <c r="P8" s="7">
        <v>72011814.4498</v>
      </c>
      <c r="Q8" s="7">
        <v>20182748.256592691</v>
      </c>
      <c r="R8" s="7">
        <v>16883075.837099675</v>
      </c>
      <c r="S8" s="111">
        <v>17976699</v>
      </c>
      <c r="T8" s="111">
        <v>9156357</v>
      </c>
      <c r="U8" s="111">
        <f t="shared" si="1"/>
        <v>48665811.072675012</v>
      </c>
      <c r="V8" s="1">
        <v>5383820.7199999997</v>
      </c>
      <c r="W8" s="1">
        <v>4090446.25</v>
      </c>
      <c r="X8" s="1">
        <v>4661270.7</v>
      </c>
      <c r="Y8" s="1">
        <v>1055924</v>
      </c>
      <c r="Z8" s="1">
        <v>7610553</v>
      </c>
      <c r="AA8" s="1">
        <v>1048502.6100000001</v>
      </c>
      <c r="AB8" s="1">
        <v>1517638</v>
      </c>
      <c r="AC8" s="1">
        <v>1331829.5999999999</v>
      </c>
      <c r="AD8" s="1">
        <v>1748215.26</v>
      </c>
      <c r="AE8" s="1">
        <v>2664963.0678000078</v>
      </c>
      <c r="AF8" s="1">
        <v>5115534.5548749994</v>
      </c>
      <c r="AG8" s="1">
        <v>3656562.5300000003</v>
      </c>
      <c r="AH8" s="1">
        <v>1722213.78</v>
      </c>
      <c r="AI8" s="1">
        <v>7058337</v>
      </c>
    </row>
    <row r="9" spans="1:35">
      <c r="A9" s="3" t="s">
        <v>58</v>
      </c>
      <c r="B9" s="107">
        <v>22958339.560000002</v>
      </c>
      <c r="C9" s="107">
        <v>67442032</v>
      </c>
      <c r="D9" s="107">
        <v>147127540.61999214</v>
      </c>
      <c r="E9" s="107">
        <v>21529286.530000001</v>
      </c>
      <c r="F9" s="107">
        <f t="shared" si="2"/>
        <v>469795439</v>
      </c>
      <c r="G9" s="2">
        <v>346202948</v>
      </c>
      <c r="H9" s="2">
        <v>28875493</v>
      </c>
      <c r="I9" s="2">
        <v>53225360</v>
      </c>
      <c r="J9" s="2">
        <v>18838576</v>
      </c>
      <c r="K9" s="2">
        <v>18893458</v>
      </c>
      <c r="L9" s="2">
        <v>3759604</v>
      </c>
      <c r="M9" s="107">
        <v>37351187</v>
      </c>
      <c r="N9" s="108">
        <f t="shared" si="0"/>
        <v>1193417357.1095321</v>
      </c>
      <c r="O9" s="7">
        <v>230105015</v>
      </c>
      <c r="P9" s="7">
        <v>677609341.09904981</v>
      </c>
      <c r="Q9" s="7">
        <v>162278532.5650143</v>
      </c>
      <c r="R9" s="7">
        <v>123424468.44546784</v>
      </c>
      <c r="S9" s="111">
        <v>126380578</v>
      </c>
      <c r="T9" s="111">
        <v>82991591</v>
      </c>
      <c r="U9" s="111">
        <f t="shared" si="1"/>
        <v>353547130.18990588</v>
      </c>
      <c r="V9" s="1">
        <v>40807777.949999996</v>
      </c>
      <c r="W9" s="1">
        <v>25298298.420000002</v>
      </c>
      <c r="X9" s="1">
        <v>34945099.540000007</v>
      </c>
      <c r="Y9" s="1">
        <v>8351746</v>
      </c>
      <c r="Z9" s="1">
        <v>68596504</v>
      </c>
      <c r="AA9" s="1">
        <v>5544656.4500000002</v>
      </c>
      <c r="AB9" s="1">
        <v>10304597</v>
      </c>
      <c r="AC9" s="1">
        <v>8650231.4499999993</v>
      </c>
      <c r="AD9" s="1">
        <v>8904378.6500000004</v>
      </c>
      <c r="AE9" s="1">
        <v>22633503.623000011</v>
      </c>
      <c r="AF9" s="1">
        <v>52224927.516905844</v>
      </c>
      <c r="AG9" s="1">
        <v>28399225.790000003</v>
      </c>
      <c r="AH9" s="1">
        <v>10259805.799999999</v>
      </c>
      <c r="AI9" s="1">
        <v>28626378</v>
      </c>
    </row>
    <row r="10" spans="1:35">
      <c r="B10" s="107"/>
      <c r="C10" s="107"/>
      <c r="D10" s="107"/>
      <c r="E10" s="107"/>
      <c r="F10" s="107"/>
      <c r="G10" s="2"/>
      <c r="H10" s="2"/>
      <c r="I10" s="2"/>
      <c r="J10" s="2"/>
      <c r="K10" s="2"/>
      <c r="L10" s="2"/>
      <c r="M10" s="107"/>
      <c r="N10" s="108"/>
      <c r="O10" s="7"/>
      <c r="P10" s="7"/>
      <c r="Q10" s="7"/>
      <c r="R10" s="7"/>
      <c r="S10" s="111"/>
      <c r="T10" s="111"/>
      <c r="U10" s="111"/>
    </row>
    <row r="11" spans="1:35">
      <c r="A11" s="114" t="s">
        <v>59</v>
      </c>
      <c r="B11" s="107">
        <v>0</v>
      </c>
      <c r="C11" s="107">
        <v>0</v>
      </c>
      <c r="D11" s="107">
        <v>0</v>
      </c>
      <c r="E11" s="107">
        <v>0</v>
      </c>
      <c r="F11" s="107">
        <f t="shared" si="2"/>
        <v>2867663</v>
      </c>
      <c r="G11" s="2">
        <v>2684162</v>
      </c>
      <c r="H11" s="2">
        <v>0</v>
      </c>
      <c r="I11" s="2">
        <v>134300</v>
      </c>
      <c r="J11" s="2">
        <v>49201</v>
      </c>
      <c r="K11" s="2">
        <v>0</v>
      </c>
      <c r="L11" s="2">
        <v>0</v>
      </c>
      <c r="M11" s="107">
        <v>0</v>
      </c>
      <c r="N11" s="108">
        <f t="shared" si="0"/>
        <v>0</v>
      </c>
      <c r="O11" s="7">
        <v>0</v>
      </c>
      <c r="P11" s="7">
        <v>0</v>
      </c>
      <c r="Q11" s="7">
        <v>0</v>
      </c>
      <c r="R11" s="7">
        <v>0</v>
      </c>
      <c r="S11" s="111">
        <v>17206737</v>
      </c>
      <c r="T11" s="111">
        <v>6562664</v>
      </c>
      <c r="U11" s="111">
        <f>SUM(V11:AI11)</f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</row>
    <row r="12" spans="1:35">
      <c r="A12" s="114" t="s">
        <v>60</v>
      </c>
      <c r="B12" s="107">
        <v>3113357</v>
      </c>
      <c r="C12" s="107">
        <v>3866128</v>
      </c>
      <c r="D12" s="107">
        <v>2975012.9440602697</v>
      </c>
      <c r="E12" s="107">
        <v>1695729.54</v>
      </c>
      <c r="F12" s="107">
        <f t="shared" si="2"/>
        <v>49231012</v>
      </c>
      <c r="G12" s="2">
        <v>28733164</v>
      </c>
      <c r="H12" s="2">
        <v>2538000</v>
      </c>
      <c r="I12" s="2">
        <v>16216852</v>
      </c>
      <c r="J12" s="2">
        <v>704587</v>
      </c>
      <c r="K12" s="2">
        <v>404415</v>
      </c>
      <c r="L12" s="2">
        <v>633994</v>
      </c>
      <c r="M12" s="107">
        <v>3147461</v>
      </c>
      <c r="N12" s="108">
        <f t="shared" si="0"/>
        <v>61268998.534755357</v>
      </c>
      <c r="O12" s="7">
        <v>13596784</v>
      </c>
      <c r="P12" s="7">
        <v>35573125.075000003</v>
      </c>
      <c r="Q12" s="7">
        <v>4995636.4214547854</v>
      </c>
      <c r="R12" s="7">
        <v>7103453.0383005664</v>
      </c>
      <c r="S12" s="111">
        <v>11958748</v>
      </c>
      <c r="T12" s="111">
        <v>10554538</v>
      </c>
      <c r="U12" s="111">
        <f>SUM(V12:AI12)</f>
        <v>31709848.561250005</v>
      </c>
      <c r="V12" s="1">
        <v>4167865.3600000003</v>
      </c>
      <c r="W12" s="1">
        <v>2385254.4900000002</v>
      </c>
      <c r="X12" s="1">
        <v>709608.57000000007</v>
      </c>
      <c r="Y12" s="1">
        <v>469848</v>
      </c>
      <c r="Z12" s="1">
        <v>6671681</v>
      </c>
      <c r="AA12" s="1">
        <v>415977.95</v>
      </c>
      <c r="AB12" s="1">
        <v>450688</v>
      </c>
      <c r="AC12" s="1">
        <v>1369891.1</v>
      </c>
      <c r="AD12" s="1">
        <v>333099.40000000002</v>
      </c>
      <c r="AE12" s="1">
        <v>2803903.1450999994</v>
      </c>
      <c r="AF12" s="1">
        <v>6800674</v>
      </c>
      <c r="AG12" s="1">
        <v>3084453.9461500002</v>
      </c>
      <c r="AH12" s="1">
        <v>390277.6</v>
      </c>
      <c r="AI12" s="1">
        <v>1656626</v>
      </c>
    </row>
    <row r="13" spans="1:35">
      <c r="A13" s="114" t="s">
        <v>61</v>
      </c>
      <c r="B13" s="107">
        <v>1621285</v>
      </c>
      <c r="C13" s="107">
        <v>2193592</v>
      </c>
      <c r="D13" s="107">
        <v>1224974.1499999999</v>
      </c>
      <c r="E13" s="107">
        <v>783397.85000000009</v>
      </c>
      <c r="F13" s="107">
        <f t="shared" si="2"/>
        <v>25205430</v>
      </c>
      <c r="G13" s="2">
        <v>14753710</v>
      </c>
      <c r="H13" s="2">
        <v>1382000</v>
      </c>
      <c r="I13" s="2">
        <v>8189509</v>
      </c>
      <c r="J13" s="2">
        <v>355816</v>
      </c>
      <c r="K13" s="2">
        <v>204229</v>
      </c>
      <c r="L13" s="2">
        <v>320166</v>
      </c>
      <c r="M13" s="107">
        <v>1036330</v>
      </c>
      <c r="N13" s="108">
        <f t="shared" si="0"/>
        <v>29723513.685843393</v>
      </c>
      <c r="O13" s="7">
        <v>7354930</v>
      </c>
      <c r="P13" s="7">
        <v>15777650.208499998</v>
      </c>
      <c r="Q13" s="7">
        <v>3061935.2072623321</v>
      </c>
      <c r="R13" s="7">
        <v>3528998.2700810637</v>
      </c>
      <c r="S13" s="111">
        <v>4819528</v>
      </c>
      <c r="T13" s="111">
        <v>3438539</v>
      </c>
      <c r="U13" s="111">
        <f>SUM(V13:AI13)</f>
        <v>14728137.058050001</v>
      </c>
      <c r="V13" s="1">
        <v>1804339.83</v>
      </c>
      <c r="W13" s="1">
        <v>902362.31</v>
      </c>
      <c r="X13" s="1">
        <v>367772.22</v>
      </c>
      <c r="Y13" s="1">
        <v>158860</v>
      </c>
      <c r="Z13" s="1">
        <v>3125670</v>
      </c>
      <c r="AA13" s="1">
        <v>229650.53</v>
      </c>
      <c r="AB13" s="1">
        <v>253511</v>
      </c>
      <c r="AC13" s="1">
        <v>1031048.24</v>
      </c>
      <c r="AD13" s="1">
        <v>162825.53</v>
      </c>
      <c r="AE13" s="1">
        <v>1168167.9272000005</v>
      </c>
      <c r="AF13" s="1">
        <v>3026298</v>
      </c>
      <c r="AG13" s="1">
        <v>1464703.82085</v>
      </c>
      <c r="AH13" s="1">
        <v>271890.65000000002</v>
      </c>
      <c r="AI13" s="1">
        <v>761037</v>
      </c>
    </row>
    <row r="14" spans="1:35">
      <c r="A14" s="114" t="s">
        <v>62</v>
      </c>
      <c r="B14" s="107">
        <v>4734642</v>
      </c>
      <c r="C14" s="107">
        <v>6059720</v>
      </c>
      <c r="D14" s="107">
        <v>4199987.0940602701</v>
      </c>
      <c r="E14" s="107">
        <v>2479127.39</v>
      </c>
      <c r="F14" s="107">
        <f t="shared" si="2"/>
        <v>77304105</v>
      </c>
      <c r="G14" s="2">
        <v>46171036</v>
      </c>
      <c r="H14" s="2">
        <v>3920000</v>
      </c>
      <c r="I14" s="2">
        <v>24540661</v>
      </c>
      <c r="J14" s="2">
        <v>1109604</v>
      </c>
      <c r="K14" s="2">
        <v>608644</v>
      </c>
      <c r="L14" s="2">
        <v>954160</v>
      </c>
      <c r="M14" s="107">
        <v>4183791</v>
      </c>
      <c r="N14" s="108">
        <f t="shared" si="0"/>
        <v>90992512.220598742</v>
      </c>
      <c r="O14" s="7">
        <v>20951714</v>
      </c>
      <c r="P14" s="7">
        <v>51350775.283500001</v>
      </c>
      <c r="Q14" s="7">
        <v>8057571.628717117</v>
      </c>
      <c r="R14" s="7">
        <v>10632451.30838163</v>
      </c>
      <c r="S14" s="111">
        <v>33985013</v>
      </c>
      <c r="T14" s="111">
        <v>20555741</v>
      </c>
      <c r="U14" s="111">
        <f>SUM(V14:AI14)</f>
        <v>46437985.6193</v>
      </c>
      <c r="V14" s="1">
        <v>5972205.1900000004</v>
      </c>
      <c r="W14" s="1">
        <v>3287616.8000000003</v>
      </c>
      <c r="X14" s="1">
        <v>1077380.79</v>
      </c>
      <c r="Y14" s="1">
        <v>628708</v>
      </c>
      <c r="Z14" s="1">
        <v>9797351</v>
      </c>
      <c r="AA14" s="1">
        <v>645628.48</v>
      </c>
      <c r="AB14" s="1">
        <v>704199</v>
      </c>
      <c r="AC14" s="1">
        <v>2400939.34</v>
      </c>
      <c r="AD14" s="1">
        <v>495924.93000000005</v>
      </c>
      <c r="AE14" s="1">
        <v>3972071.0723000001</v>
      </c>
      <c r="AF14" s="1">
        <v>9826972</v>
      </c>
      <c r="AG14" s="1">
        <v>4549157.767</v>
      </c>
      <c r="AH14" s="1">
        <v>662168.25</v>
      </c>
      <c r="AI14" s="1">
        <v>2417663</v>
      </c>
    </row>
    <row r="15" spans="1:35">
      <c r="A15" s="108"/>
      <c r="B15" s="107"/>
      <c r="C15" s="107"/>
      <c r="D15" s="107"/>
      <c r="E15" s="107"/>
      <c r="F15" s="107"/>
      <c r="G15" s="2"/>
      <c r="H15" s="2"/>
      <c r="I15" s="2"/>
      <c r="J15" s="2"/>
      <c r="K15" s="2"/>
      <c r="L15" s="2"/>
      <c r="M15" s="107"/>
      <c r="N15" s="108">
        <f t="shared" si="0"/>
        <v>0</v>
      </c>
      <c r="O15" s="7"/>
      <c r="P15" s="7"/>
      <c r="Q15" s="7"/>
      <c r="R15" s="7"/>
      <c r="S15" s="111"/>
      <c r="T15" s="111"/>
      <c r="U15" s="111"/>
    </row>
    <row r="16" spans="1:35">
      <c r="A16" s="114" t="s">
        <v>63</v>
      </c>
      <c r="B16" s="107">
        <v>27692981.560000002</v>
      </c>
      <c r="C16" s="107">
        <v>73501752</v>
      </c>
      <c r="D16" s="107">
        <v>151327527.71405241</v>
      </c>
      <c r="E16" s="107">
        <v>24008413.920000002</v>
      </c>
      <c r="F16" s="107">
        <f t="shared" si="2"/>
        <v>547099544</v>
      </c>
      <c r="G16" s="2">
        <v>392373984</v>
      </c>
      <c r="H16" s="2">
        <v>32795493</v>
      </c>
      <c r="I16" s="2">
        <v>77766021</v>
      </c>
      <c r="J16" s="2">
        <v>19948180</v>
      </c>
      <c r="K16" s="2">
        <v>19502102</v>
      </c>
      <c r="L16" s="2">
        <v>4713764</v>
      </c>
      <c r="M16" s="107">
        <v>41534978</v>
      </c>
      <c r="N16" s="108">
        <f t="shared" si="0"/>
        <v>1284409869.3301306</v>
      </c>
      <c r="O16" s="8">
        <v>251056729</v>
      </c>
      <c r="P16" s="8">
        <v>728960116.38254976</v>
      </c>
      <c r="Q16" s="8">
        <v>170336104.19373143</v>
      </c>
      <c r="R16" s="8">
        <v>134056919.75384948</v>
      </c>
      <c r="S16" s="112">
        <v>160365591</v>
      </c>
      <c r="T16" s="112">
        <v>103547332</v>
      </c>
      <c r="U16" s="111">
        <f>SUM(V16:AI16)</f>
        <v>399985115.80920589</v>
      </c>
      <c r="V16" s="1">
        <v>46779983.139999993</v>
      </c>
      <c r="W16" s="1">
        <v>28585915.220000003</v>
      </c>
      <c r="X16" s="1">
        <v>36022480.330000006</v>
      </c>
      <c r="Y16" s="1">
        <v>8980454</v>
      </c>
      <c r="Z16" s="1">
        <v>78393855</v>
      </c>
      <c r="AA16" s="1">
        <v>6190284.9299999997</v>
      </c>
      <c r="AB16" s="1">
        <v>11008796</v>
      </c>
      <c r="AC16" s="1">
        <v>11051170.789999999</v>
      </c>
      <c r="AD16" s="1">
        <v>9400303.5800000001</v>
      </c>
      <c r="AE16" s="1">
        <v>26605574.695300013</v>
      </c>
      <c r="AF16" s="1">
        <v>62051899.516905844</v>
      </c>
      <c r="AG16" s="1">
        <v>32948383.557000004</v>
      </c>
      <c r="AH16" s="1">
        <v>10921974.049999999</v>
      </c>
      <c r="AI16" s="1">
        <v>31044041</v>
      </c>
    </row>
    <row r="17" spans="1:35">
      <c r="A17" s="108"/>
      <c r="B17" s="107"/>
      <c r="C17" s="107"/>
      <c r="D17" s="107"/>
      <c r="E17" s="107"/>
      <c r="F17" s="107"/>
      <c r="G17" s="2"/>
      <c r="H17" s="2"/>
      <c r="I17" s="2"/>
      <c r="J17" s="2"/>
      <c r="K17" s="2"/>
      <c r="L17" s="2"/>
      <c r="M17" s="107"/>
      <c r="N17" s="108">
        <f t="shared" si="0"/>
        <v>0</v>
      </c>
      <c r="O17" s="8"/>
      <c r="P17" s="8"/>
      <c r="Q17" s="8"/>
      <c r="R17" s="8"/>
      <c r="S17" s="112"/>
      <c r="T17" s="112"/>
      <c r="U17" s="111"/>
    </row>
    <row r="18" spans="1:35">
      <c r="A18" s="114" t="s">
        <v>64</v>
      </c>
      <c r="B18" s="107">
        <v>356650</v>
      </c>
      <c r="C18" s="107">
        <v>2920080</v>
      </c>
      <c r="D18" s="107">
        <v>3454000.3059476027</v>
      </c>
      <c r="E18" s="107">
        <v>825755</v>
      </c>
      <c r="F18" s="107">
        <f>SUM(G18:L18)</f>
        <v>4954640</v>
      </c>
      <c r="G18" s="2">
        <v>3161173</v>
      </c>
      <c r="H18" s="2">
        <v>800000</v>
      </c>
      <c r="I18" s="2">
        <v>908958</v>
      </c>
      <c r="J18" s="2">
        <v>30463</v>
      </c>
      <c r="K18" s="2">
        <v>0</v>
      </c>
      <c r="L18" s="2">
        <v>54046</v>
      </c>
      <c r="M18" s="107">
        <v>392962</v>
      </c>
      <c r="N18" s="108">
        <f t="shared" si="0"/>
        <v>19621069.69596184</v>
      </c>
      <c r="O18" s="7">
        <v>1876702</v>
      </c>
      <c r="P18" s="7">
        <v>11709881.735099997</v>
      </c>
      <c r="Q18" s="7">
        <v>1809903.2068610592</v>
      </c>
      <c r="R18" s="7">
        <v>4224582.7540007811</v>
      </c>
      <c r="S18" s="112">
        <v>4729772</v>
      </c>
      <c r="T18" s="112">
        <v>1929246</v>
      </c>
      <c r="U18" s="111">
        <f>SUM(V18:AI18)</f>
        <v>12230266.509099999</v>
      </c>
      <c r="V18" s="1">
        <v>1198500</v>
      </c>
      <c r="W18" s="1">
        <v>973019.52</v>
      </c>
      <c r="X18" s="1">
        <v>967091.7300000001</v>
      </c>
      <c r="Y18" s="1">
        <v>191290</v>
      </c>
      <c r="Z18" s="1">
        <v>1958546</v>
      </c>
      <c r="AA18" s="1">
        <v>288901.44</v>
      </c>
      <c r="AB18" s="1">
        <v>207394</v>
      </c>
      <c r="AC18" s="1">
        <v>54805</v>
      </c>
      <c r="AD18" s="1">
        <v>197851.56</v>
      </c>
      <c r="AE18" s="1">
        <v>419337.65910000022</v>
      </c>
      <c r="AF18" s="1">
        <v>2631500</v>
      </c>
      <c r="AG18" s="1">
        <v>2427975.1999999997</v>
      </c>
      <c r="AH18" s="1">
        <v>243063.4</v>
      </c>
      <c r="AI18" s="1">
        <v>470991</v>
      </c>
    </row>
    <row r="19" spans="1:35">
      <c r="A19" s="108"/>
      <c r="B19" s="108"/>
      <c r="C19" s="108"/>
      <c r="D19" s="107"/>
      <c r="E19" s="108"/>
      <c r="F19" s="108"/>
      <c r="M19" s="108"/>
      <c r="N19" s="108"/>
      <c r="S19" s="108"/>
      <c r="T19" s="108"/>
      <c r="U19" s="107"/>
    </row>
    <row r="20" spans="1:35">
      <c r="A20" s="108" t="s">
        <v>65</v>
      </c>
      <c r="B20" s="108">
        <f t="shared" ref="B20:M20" si="3">SUM(B2,B4,B7,B11,B12,B18)</f>
        <v>20964027</v>
      </c>
      <c r="C20" s="108">
        <f t="shared" si="3"/>
        <v>56746601</v>
      </c>
      <c r="D20" s="108">
        <f t="shared" si="3"/>
        <v>122091417.72</v>
      </c>
      <c r="E20" s="108">
        <f t="shared" si="3"/>
        <v>18556983.870000001</v>
      </c>
      <c r="F20" s="108">
        <f t="shared" ref="F20" si="4">SUM(F2,F4,F7,F11,F12,F18)</f>
        <v>428785144</v>
      </c>
      <c r="G20" s="1">
        <f t="shared" ref="G20:I20" si="5">SUM(G2,G4,G7,G11,G12,G18)</f>
        <v>310377632</v>
      </c>
      <c r="H20" s="1">
        <f t="shared" si="5"/>
        <v>24962150</v>
      </c>
      <c r="I20" s="1">
        <f t="shared" si="5"/>
        <v>59107387</v>
      </c>
      <c r="J20" s="1">
        <f t="shared" ref="J20:L20" si="6">SUM(J2,J4,J7,J11,J12,J18)</f>
        <v>15523018</v>
      </c>
      <c r="K20" s="1">
        <f t="shared" si="6"/>
        <v>15199101</v>
      </c>
      <c r="L20" s="1">
        <f t="shared" si="6"/>
        <v>3615856</v>
      </c>
      <c r="M20" s="108">
        <f t="shared" si="3"/>
        <v>31570406</v>
      </c>
      <c r="N20" s="108">
        <f t="shared" ref="N20:R20" si="7">SUM(N2,N4,N7,N11,N12,N18)</f>
        <v>950302426.1100533</v>
      </c>
      <c r="O20" s="1">
        <f t="shared" si="7"/>
        <v>186385818</v>
      </c>
      <c r="P20" s="1">
        <f t="shared" si="7"/>
        <v>534172662.20474988</v>
      </c>
      <c r="Q20" s="1">
        <f t="shared" si="7"/>
        <v>128039782.50463392</v>
      </c>
      <c r="R20" s="1">
        <f t="shared" si="7"/>
        <v>101704163.40066952</v>
      </c>
      <c r="S20" s="108">
        <f>SUM(S2,S4,S7,S11,S12,S18)</f>
        <v>124980177</v>
      </c>
      <c r="T20" s="108">
        <f>SUM(T2,T4,T7,T11,T12,T18)</f>
        <v>82389703</v>
      </c>
      <c r="U20" s="108">
        <f>SUM(U2,U4,U7,U11,U12,U18)</f>
        <v>305476807.04635</v>
      </c>
      <c r="V20" s="1">
        <f t="shared" ref="V20:AI20" si="8">SUM(V2,V4,V7,V11,V12,V18)</f>
        <v>35585401.439999998</v>
      </c>
      <c r="W20" s="1">
        <f t="shared" si="8"/>
        <v>21914288.180000003</v>
      </c>
      <c r="X20" s="1">
        <f t="shared" si="8"/>
        <v>27425781.140000004</v>
      </c>
      <c r="Y20" s="1">
        <f t="shared" si="8"/>
        <v>7039191</v>
      </c>
      <c r="Z20" s="1">
        <f t="shared" si="8"/>
        <v>59522304</v>
      </c>
      <c r="AA20" s="1">
        <f t="shared" si="8"/>
        <v>4454870.080000001</v>
      </c>
      <c r="AB20" s="1">
        <f t="shared" si="8"/>
        <v>8135570</v>
      </c>
      <c r="AC20" s="1">
        <f t="shared" si="8"/>
        <v>7658026.1699999999</v>
      </c>
      <c r="AD20" s="1">
        <f t="shared" si="8"/>
        <v>6552754.1699999999</v>
      </c>
      <c r="AE20" s="1">
        <f t="shared" si="8"/>
        <v>20053298.647200007</v>
      </c>
      <c r="AF20" s="1">
        <f t="shared" si="8"/>
        <v>48471281.133000001</v>
      </c>
      <c r="AG20" s="1">
        <f t="shared" si="8"/>
        <v>27118143.866149999</v>
      </c>
      <c r="AH20" s="1">
        <f t="shared" si="8"/>
        <v>7850239.2200000007</v>
      </c>
      <c r="AI20" s="1">
        <f t="shared" si="8"/>
        <v>23695658</v>
      </c>
    </row>
    <row r="21" spans="1:35">
      <c r="A21" s="108" t="s">
        <v>66</v>
      </c>
      <c r="B21" s="108">
        <f>B12</f>
        <v>3113357</v>
      </c>
      <c r="C21" s="108">
        <f t="shared" ref="C21:M21" si="9">C12</f>
        <v>3866128</v>
      </c>
      <c r="D21" s="108">
        <f t="shared" si="9"/>
        <v>2975012.9440602697</v>
      </c>
      <c r="E21" s="108">
        <f t="shared" si="9"/>
        <v>1695729.54</v>
      </c>
      <c r="F21" s="108">
        <f t="shared" ref="F21" si="10">F12</f>
        <v>49231012</v>
      </c>
      <c r="G21" s="1">
        <f t="shared" ref="G21:I21" si="11">G12</f>
        <v>28733164</v>
      </c>
      <c r="H21" s="1">
        <f t="shared" si="11"/>
        <v>2538000</v>
      </c>
      <c r="I21" s="1">
        <f t="shared" si="11"/>
        <v>16216852</v>
      </c>
      <c r="J21" s="1">
        <f t="shared" ref="J21:L21" si="12">J12</f>
        <v>704587</v>
      </c>
      <c r="K21" s="1">
        <f t="shared" si="12"/>
        <v>404415</v>
      </c>
      <c r="L21" s="1">
        <f t="shared" si="12"/>
        <v>633994</v>
      </c>
      <c r="M21" s="108">
        <f t="shared" si="9"/>
        <v>3147461</v>
      </c>
      <c r="N21" s="108">
        <f t="shared" ref="N21:R21" si="13">N12</f>
        <v>61268998.534755357</v>
      </c>
      <c r="O21" s="1">
        <f t="shared" si="13"/>
        <v>13596784</v>
      </c>
      <c r="P21" s="1">
        <f t="shared" si="13"/>
        <v>35573125.075000003</v>
      </c>
      <c r="Q21" s="1">
        <f t="shared" si="13"/>
        <v>4995636.4214547854</v>
      </c>
      <c r="R21" s="1">
        <f t="shared" si="13"/>
        <v>7103453.0383005664</v>
      </c>
      <c r="S21" s="108">
        <f>S12</f>
        <v>11958748</v>
      </c>
      <c r="T21" s="108">
        <f>T12</f>
        <v>10554538</v>
      </c>
      <c r="U21" s="108">
        <f>U12</f>
        <v>31709848.561250005</v>
      </c>
      <c r="V21" s="1">
        <f t="shared" ref="V21" si="14">V12</f>
        <v>4167865.3600000003</v>
      </c>
      <c r="W21" s="1">
        <f t="shared" ref="W21:AI21" si="15">W12</f>
        <v>2385254.4900000002</v>
      </c>
      <c r="X21" s="1">
        <f t="shared" si="15"/>
        <v>709608.57000000007</v>
      </c>
      <c r="Y21" s="1">
        <f t="shared" si="15"/>
        <v>469848</v>
      </c>
      <c r="Z21" s="1">
        <f t="shared" si="15"/>
        <v>6671681</v>
      </c>
      <c r="AA21" s="1">
        <f t="shared" si="15"/>
        <v>415977.95</v>
      </c>
      <c r="AB21" s="1">
        <f t="shared" si="15"/>
        <v>450688</v>
      </c>
      <c r="AC21" s="1">
        <f t="shared" si="15"/>
        <v>1369891.1</v>
      </c>
      <c r="AD21" s="1">
        <f t="shared" si="15"/>
        <v>333099.40000000002</v>
      </c>
      <c r="AE21" s="1">
        <f t="shared" si="15"/>
        <v>2803903.1450999994</v>
      </c>
      <c r="AF21" s="1">
        <f t="shared" si="15"/>
        <v>6800674</v>
      </c>
      <c r="AG21" s="1">
        <f t="shared" si="15"/>
        <v>3084453.9461500002</v>
      </c>
      <c r="AH21" s="1">
        <f t="shared" si="15"/>
        <v>390277.6</v>
      </c>
      <c r="AI21" s="1">
        <f t="shared" si="15"/>
        <v>1656626</v>
      </c>
    </row>
    <row r="22" spans="1:35">
      <c r="A22" s="108" t="s">
        <v>67</v>
      </c>
      <c r="B22" s="108">
        <f t="shared" ref="B22:M22" si="16">SUM(B2,B4,B7,B11,B18)</f>
        <v>17850670</v>
      </c>
      <c r="C22" s="108">
        <f t="shared" si="16"/>
        <v>52880473</v>
      </c>
      <c r="D22" s="108">
        <f t="shared" si="16"/>
        <v>119116404.77593973</v>
      </c>
      <c r="E22" s="108">
        <f t="shared" si="16"/>
        <v>16861254.329999998</v>
      </c>
      <c r="F22" s="108">
        <f t="shared" ref="F22" si="17">SUM(F2,F4,F7,F11,F18)</f>
        <v>379554132</v>
      </c>
      <c r="G22" s="1">
        <f t="shared" ref="G22:I22" si="18">SUM(G2,G4,G7,G11,G18)</f>
        <v>281644468</v>
      </c>
      <c r="H22" s="1">
        <f t="shared" si="18"/>
        <v>22424150</v>
      </c>
      <c r="I22" s="1">
        <f t="shared" si="18"/>
        <v>42890535</v>
      </c>
      <c r="J22" s="1">
        <f t="shared" ref="J22:L22" si="19">SUM(J2,J4,J7,J11,J18)</f>
        <v>14818431</v>
      </c>
      <c r="K22" s="1">
        <f t="shared" si="19"/>
        <v>14794686</v>
      </c>
      <c r="L22" s="1">
        <f t="shared" si="19"/>
        <v>2981862</v>
      </c>
      <c r="M22" s="108">
        <f t="shared" si="16"/>
        <v>28422945</v>
      </c>
      <c r="N22" s="108">
        <f t="shared" ref="N22:R22" si="20">SUM(N2,N4,N7,N11,N18)</f>
        <v>889033427.57529795</v>
      </c>
      <c r="O22" s="1">
        <f t="shared" si="20"/>
        <v>172789034</v>
      </c>
      <c r="P22" s="1">
        <f t="shared" si="20"/>
        <v>498599537.12974989</v>
      </c>
      <c r="Q22" s="1">
        <f t="shared" si="20"/>
        <v>123044146.08317913</v>
      </c>
      <c r="R22" s="1">
        <f t="shared" si="20"/>
        <v>94600710.362368956</v>
      </c>
      <c r="S22" s="108">
        <f>SUM(S2,S4,S7,S11,S18)</f>
        <v>113021429</v>
      </c>
      <c r="T22" s="108">
        <f>SUM(T2,T4,T7,T11,T18)</f>
        <v>71835165</v>
      </c>
      <c r="U22" s="108">
        <f>SUM(U2,U4,U7,U11,U18)</f>
        <v>273766958.48509997</v>
      </c>
      <c r="V22" s="1">
        <f t="shared" ref="V22" si="21">SUM(V2,V4,V7,V11,V18)</f>
        <v>31417536.079999998</v>
      </c>
      <c r="W22" s="1">
        <f t="shared" ref="W22:AI22" si="22">SUM(W2,W4,W7,W11,W18)</f>
        <v>19529033.690000001</v>
      </c>
      <c r="X22" s="1">
        <f t="shared" si="22"/>
        <v>26716172.570000004</v>
      </c>
      <c r="Y22" s="1">
        <f t="shared" si="22"/>
        <v>6569343</v>
      </c>
      <c r="Z22" s="1">
        <f t="shared" si="22"/>
        <v>52850623</v>
      </c>
      <c r="AA22" s="1">
        <f t="shared" si="22"/>
        <v>4038892.1300000004</v>
      </c>
      <c r="AB22" s="1">
        <f t="shared" si="22"/>
        <v>7684882</v>
      </c>
      <c r="AC22" s="1">
        <f t="shared" si="22"/>
        <v>6288135.0700000003</v>
      </c>
      <c r="AD22" s="1">
        <f t="shared" si="22"/>
        <v>6219654.7699999996</v>
      </c>
      <c r="AE22" s="1">
        <f t="shared" si="22"/>
        <v>17249395.502100006</v>
      </c>
      <c r="AF22" s="1">
        <f t="shared" si="22"/>
        <v>41670607.133000001</v>
      </c>
      <c r="AG22" s="1">
        <f t="shared" si="22"/>
        <v>24033689.919999998</v>
      </c>
      <c r="AH22" s="1">
        <f t="shared" si="22"/>
        <v>7459961.620000001</v>
      </c>
      <c r="AI22" s="1">
        <f t="shared" si="22"/>
        <v>22039032</v>
      </c>
    </row>
    <row r="23" spans="1:35">
      <c r="A23" s="108" t="s">
        <v>68</v>
      </c>
      <c r="B23" s="109">
        <f t="shared" ref="B23:M23" si="23">B21/B20</f>
        <v>0.14850949199788763</v>
      </c>
      <c r="C23" s="109">
        <f t="shared" si="23"/>
        <v>6.8129684102136795E-2</v>
      </c>
      <c r="D23" s="109">
        <f t="shared" si="23"/>
        <v>2.4367093114464899E-2</v>
      </c>
      <c r="E23" s="109">
        <f t="shared" si="23"/>
        <v>9.1379587969647777E-2</v>
      </c>
      <c r="F23" s="109">
        <f t="shared" ref="F23" si="24">F21/F20</f>
        <v>0.11481510656068812</v>
      </c>
      <c r="G23" s="5">
        <f t="shared" ref="G23:I23" si="25">G21/G20</f>
        <v>9.2574854105465954E-2</v>
      </c>
      <c r="H23" s="5">
        <f t="shared" si="25"/>
        <v>0.10167393433658559</v>
      </c>
      <c r="I23" s="5">
        <f t="shared" si="25"/>
        <v>0.27436252595635802</v>
      </c>
      <c r="J23" s="5">
        <f t="shared" ref="J23:L23" si="26">J21/J20</f>
        <v>4.5389820458882416E-2</v>
      </c>
      <c r="K23" s="5">
        <f t="shared" si="26"/>
        <v>2.6607823712731432E-2</v>
      </c>
      <c r="L23" s="5">
        <f t="shared" si="26"/>
        <v>0.17533718156917755</v>
      </c>
      <c r="M23" s="109">
        <f t="shared" si="23"/>
        <v>9.9696563927622592E-2</v>
      </c>
      <c r="N23" s="109">
        <f t="shared" ref="N23:R23" si="27">N21/N20</f>
        <v>6.4473158071954528E-2</v>
      </c>
      <c r="O23" s="5">
        <f t="shared" si="27"/>
        <v>7.2949670451858087E-2</v>
      </c>
      <c r="P23" s="5">
        <f t="shared" si="27"/>
        <v>6.6594806496040271E-2</v>
      </c>
      <c r="Q23" s="5">
        <f t="shared" si="27"/>
        <v>3.9016283249887491E-2</v>
      </c>
      <c r="R23" s="5">
        <f t="shared" si="27"/>
        <v>6.9844269897940139E-2</v>
      </c>
      <c r="S23" s="109">
        <f>S21/S20</f>
        <v>9.5685158135117701E-2</v>
      </c>
      <c r="T23" s="109">
        <f>T21/T20</f>
        <v>0.12810506186677237</v>
      </c>
      <c r="U23" s="109">
        <f>U21/U20</f>
        <v>0.10380443892893862</v>
      </c>
      <c r="V23" s="5">
        <f t="shared" ref="V23" si="28">V21/V20</f>
        <v>0.11712289847361634</v>
      </c>
      <c r="W23" s="5">
        <f t="shared" ref="W23:AI23" si="29">W21/W20</f>
        <v>0.10884471676232195</v>
      </c>
      <c r="X23" s="5">
        <f t="shared" si="29"/>
        <v>2.5873777901809652E-2</v>
      </c>
      <c r="Y23" s="5">
        <f t="shared" si="29"/>
        <v>6.6747442994514572E-2</v>
      </c>
      <c r="Z23" s="5">
        <f t="shared" si="29"/>
        <v>0.1120870757959907</v>
      </c>
      <c r="AA23" s="5">
        <f t="shared" si="29"/>
        <v>9.3376000316489571E-2</v>
      </c>
      <c r="AB23" s="5">
        <f t="shared" si="29"/>
        <v>5.5397224779579056E-2</v>
      </c>
      <c r="AC23" s="5">
        <f t="shared" si="29"/>
        <v>0.17888305283762174</v>
      </c>
      <c r="AD23" s="5">
        <f t="shared" si="29"/>
        <v>5.0833495559013168E-2</v>
      </c>
      <c r="AE23" s="5">
        <f t="shared" si="29"/>
        <v>0.13982253964444405</v>
      </c>
      <c r="AF23" s="5">
        <f t="shared" si="29"/>
        <v>0.14030316181121105</v>
      </c>
      <c r="AG23" s="5">
        <f t="shared" si="29"/>
        <v>0.11374133721593477</v>
      </c>
      <c r="AH23" s="5">
        <f t="shared" si="29"/>
        <v>4.9715376699055541E-2</v>
      </c>
      <c r="AI23" s="5">
        <f t="shared" si="29"/>
        <v>6.991263969120419E-2</v>
      </c>
    </row>
    <row r="24" spans="1:35">
      <c r="A24" s="108" t="s">
        <v>69</v>
      </c>
      <c r="B24" s="109">
        <f t="shared" ref="B24:M24" si="30">B22/B20</f>
        <v>0.85149050800211235</v>
      </c>
      <c r="C24" s="109">
        <f t="shared" si="30"/>
        <v>0.93187031589786318</v>
      </c>
      <c r="D24" s="109">
        <f t="shared" si="30"/>
        <v>0.97563290688553517</v>
      </c>
      <c r="E24" s="109">
        <f t="shared" si="30"/>
        <v>0.90862041203035204</v>
      </c>
      <c r="F24" s="109">
        <f t="shared" ref="F24" si="31">F22/F20</f>
        <v>0.88518489343931184</v>
      </c>
      <c r="G24" s="5">
        <f t="shared" ref="G24:I24" si="32">G22/G20</f>
        <v>0.90742514589453405</v>
      </c>
      <c r="H24" s="5">
        <f t="shared" si="32"/>
        <v>0.89832606566341444</v>
      </c>
      <c r="I24" s="5">
        <f t="shared" si="32"/>
        <v>0.72563747404364198</v>
      </c>
      <c r="J24" s="5">
        <f t="shared" ref="J24:L24" si="33">J22/J20</f>
        <v>0.9546101795411176</v>
      </c>
      <c r="K24" s="5">
        <f t="shared" si="33"/>
        <v>0.9733921762872686</v>
      </c>
      <c r="L24" s="5">
        <f t="shared" si="33"/>
        <v>0.82466281843082245</v>
      </c>
      <c r="M24" s="109">
        <f t="shared" si="30"/>
        <v>0.90030343607237739</v>
      </c>
      <c r="N24" s="109">
        <f t="shared" ref="N24:R24" si="34">N22/N20</f>
        <v>0.93552684192804547</v>
      </c>
      <c r="O24" s="5">
        <f t="shared" si="34"/>
        <v>0.92705032954814193</v>
      </c>
      <c r="P24" s="5">
        <f t="shared" si="34"/>
        <v>0.93340519350395978</v>
      </c>
      <c r="Q24" s="5">
        <f t="shared" si="34"/>
        <v>0.96098371675011252</v>
      </c>
      <c r="R24" s="5">
        <f t="shared" si="34"/>
        <v>0.93015573010205999</v>
      </c>
      <c r="S24" s="109">
        <f>S22/S20</f>
        <v>0.90431484186488231</v>
      </c>
      <c r="T24" s="109">
        <f>T22/T20</f>
        <v>0.8718949381332276</v>
      </c>
      <c r="U24" s="109">
        <f>U22/U20</f>
        <v>0.89619556107106124</v>
      </c>
      <c r="V24" s="5">
        <f t="shared" ref="V24" si="35">V22/V20</f>
        <v>0.88287710152638366</v>
      </c>
      <c r="W24" s="5">
        <f t="shared" ref="W24:AI24" si="36">W22/W20</f>
        <v>0.89115528323767801</v>
      </c>
      <c r="X24" s="5">
        <f t="shared" si="36"/>
        <v>0.97412622209819033</v>
      </c>
      <c r="Y24" s="5">
        <f t="shared" si="36"/>
        <v>0.93325255700548548</v>
      </c>
      <c r="Z24" s="5">
        <f t="shared" si="36"/>
        <v>0.88791292420400936</v>
      </c>
      <c r="AA24" s="5">
        <f t="shared" si="36"/>
        <v>0.90662399968351026</v>
      </c>
      <c r="AB24" s="5">
        <f t="shared" si="36"/>
        <v>0.94460277522042091</v>
      </c>
      <c r="AC24" s="5">
        <f t="shared" si="36"/>
        <v>0.82111694716237826</v>
      </c>
      <c r="AD24" s="5">
        <f t="shared" si="36"/>
        <v>0.94916650444098682</v>
      </c>
      <c r="AE24" s="5">
        <f t="shared" si="36"/>
        <v>0.86017746035555587</v>
      </c>
      <c r="AF24" s="5">
        <f t="shared" si="36"/>
        <v>0.85969683818878895</v>
      </c>
      <c r="AG24" s="5">
        <f t="shared" si="36"/>
        <v>0.88625866278406518</v>
      </c>
      <c r="AH24" s="5">
        <f t="shared" si="36"/>
        <v>0.95028462330094454</v>
      </c>
      <c r="AI24" s="5">
        <f t="shared" si="36"/>
        <v>0.9300873603087958</v>
      </c>
    </row>
    <row r="25" spans="1:35">
      <c r="A25" s="108" t="s">
        <v>70</v>
      </c>
      <c r="B25" s="110">
        <f t="shared" ref="B25:M25" si="37">SUM(B13,B8,B5,B3)</f>
        <v>7085604.5599999996</v>
      </c>
      <c r="C25" s="110">
        <f t="shared" si="37"/>
        <v>19675231</v>
      </c>
      <c r="D25" s="110">
        <f t="shared" si="37"/>
        <v>32690110.300000001</v>
      </c>
      <c r="E25" s="110">
        <f t="shared" si="37"/>
        <v>6277185.0499999998</v>
      </c>
      <c r="F25" s="110">
        <f t="shared" ref="F25" si="38">SUM(F13,F8,F5,F3)</f>
        <v>123269040</v>
      </c>
      <c r="G25" s="6">
        <f t="shared" ref="G25:I25" si="39">SUM(G13,G8,G5,G3)</f>
        <v>85157525</v>
      </c>
      <c r="H25" s="6">
        <f t="shared" si="39"/>
        <v>8633343</v>
      </c>
      <c r="I25" s="6">
        <f t="shared" si="39"/>
        <v>19567592</v>
      </c>
      <c r="J25" s="6">
        <f t="shared" ref="J25:L25" si="40">SUM(J13,J8,J5,J3)</f>
        <v>4455625</v>
      </c>
      <c r="K25" s="6">
        <f t="shared" si="40"/>
        <v>4303001</v>
      </c>
      <c r="L25" s="6">
        <f t="shared" si="40"/>
        <v>1151954</v>
      </c>
      <c r="M25" s="110">
        <f t="shared" si="37"/>
        <v>10357534</v>
      </c>
      <c r="N25" s="110">
        <f t="shared" ref="N25:R25" si="41">SUM(N13,N8,N5,N3)</f>
        <v>353728512.91603923</v>
      </c>
      <c r="O25" s="6">
        <f t="shared" si="41"/>
        <v>66547613</v>
      </c>
      <c r="P25" s="6">
        <f t="shared" si="41"/>
        <v>206497335.91289997</v>
      </c>
      <c r="Q25" s="6">
        <f t="shared" si="41"/>
        <v>44106224.895958543</v>
      </c>
      <c r="R25" s="6">
        <f t="shared" si="41"/>
        <v>36577339.107180737</v>
      </c>
      <c r="S25" s="110">
        <f>SUM(S13,S8,S5,S3)</f>
        <v>40115186</v>
      </c>
      <c r="T25" s="110">
        <f>SUM(T13,T8,T5,T3)</f>
        <v>23086875</v>
      </c>
      <c r="U25" s="110">
        <f>SUM(U13,U8,U5,U3)</f>
        <v>106738575.27195586</v>
      </c>
      <c r="V25" s="6">
        <f t="shared" ref="V25" si="42">SUM(V13,V8,V5,V3)</f>
        <v>12393081.699999999</v>
      </c>
      <c r="W25" s="6">
        <f t="shared" ref="W25:AI25" si="43">SUM(W13,W8,W5,W3)</f>
        <v>7644646.5600000005</v>
      </c>
      <c r="X25" s="6">
        <f t="shared" si="43"/>
        <v>9563790.9199999999</v>
      </c>
      <c r="Y25" s="6">
        <f t="shared" si="43"/>
        <v>2132553</v>
      </c>
      <c r="Z25" s="6">
        <f t="shared" si="43"/>
        <v>20830097</v>
      </c>
      <c r="AA25" s="6">
        <f t="shared" si="43"/>
        <v>2024316.29</v>
      </c>
      <c r="AB25" s="6">
        <f t="shared" si="43"/>
        <v>3080620</v>
      </c>
      <c r="AC25" s="6">
        <f t="shared" si="43"/>
        <v>3447949.62</v>
      </c>
      <c r="AD25" s="6">
        <f t="shared" si="43"/>
        <v>3045400.97</v>
      </c>
      <c r="AE25" s="6">
        <f t="shared" si="43"/>
        <v>6971613.7072000066</v>
      </c>
      <c r="AF25" s="6">
        <f t="shared" si="43"/>
        <v>16212118.383905847</v>
      </c>
      <c r="AG25" s="6">
        <f t="shared" si="43"/>
        <v>8258214.8908500001</v>
      </c>
      <c r="AH25" s="6">
        <f t="shared" si="43"/>
        <v>3314798.2300000004</v>
      </c>
      <c r="AI25" s="6">
        <f t="shared" si="43"/>
        <v>7819374</v>
      </c>
    </row>
    <row r="26" spans="1:35">
      <c r="A26" s="108" t="s">
        <v>71</v>
      </c>
      <c r="B26" s="108">
        <f t="shared" ref="B26:M26" si="44">B13</f>
        <v>1621285</v>
      </c>
      <c r="C26" s="108">
        <f t="shared" si="44"/>
        <v>2193592</v>
      </c>
      <c r="D26" s="108">
        <f t="shared" si="44"/>
        <v>1224974.1499999999</v>
      </c>
      <c r="E26" s="108">
        <f t="shared" si="44"/>
        <v>783397.85000000009</v>
      </c>
      <c r="F26" s="108">
        <f t="shared" ref="F26" si="45">F13</f>
        <v>25205430</v>
      </c>
      <c r="G26" s="1">
        <f t="shared" ref="G26:I26" si="46">G13</f>
        <v>14753710</v>
      </c>
      <c r="H26" s="1">
        <f t="shared" si="46"/>
        <v>1382000</v>
      </c>
      <c r="I26" s="1">
        <f t="shared" si="46"/>
        <v>8189509</v>
      </c>
      <c r="J26" s="1">
        <f t="shared" ref="J26:L26" si="47">J13</f>
        <v>355816</v>
      </c>
      <c r="K26" s="1">
        <f t="shared" si="47"/>
        <v>204229</v>
      </c>
      <c r="L26" s="1">
        <f t="shared" si="47"/>
        <v>320166</v>
      </c>
      <c r="M26" s="108">
        <f t="shared" si="44"/>
        <v>1036330</v>
      </c>
      <c r="N26" s="108">
        <f t="shared" ref="N26:R26" si="48">N13</f>
        <v>29723513.685843393</v>
      </c>
      <c r="O26" s="1">
        <f t="shared" si="48"/>
        <v>7354930</v>
      </c>
      <c r="P26" s="1">
        <f t="shared" si="48"/>
        <v>15777650.208499998</v>
      </c>
      <c r="Q26" s="1">
        <f t="shared" si="48"/>
        <v>3061935.2072623321</v>
      </c>
      <c r="R26" s="1">
        <f t="shared" si="48"/>
        <v>3528998.2700810637</v>
      </c>
      <c r="S26" s="108">
        <f>S13</f>
        <v>4819528</v>
      </c>
      <c r="T26" s="108">
        <f>T13</f>
        <v>3438539</v>
      </c>
      <c r="U26" s="108">
        <f>U13</f>
        <v>14728137.058050001</v>
      </c>
      <c r="V26" s="1">
        <f t="shared" ref="V26" si="49">V13</f>
        <v>1804339.83</v>
      </c>
      <c r="W26" s="1">
        <f t="shared" ref="W26:AI26" si="50">W13</f>
        <v>902362.31</v>
      </c>
      <c r="X26" s="1">
        <f t="shared" si="50"/>
        <v>367772.22</v>
      </c>
      <c r="Y26" s="1">
        <f t="shared" si="50"/>
        <v>158860</v>
      </c>
      <c r="Z26" s="1">
        <f t="shared" si="50"/>
        <v>3125670</v>
      </c>
      <c r="AA26" s="1">
        <f t="shared" si="50"/>
        <v>229650.53</v>
      </c>
      <c r="AB26" s="1">
        <f t="shared" si="50"/>
        <v>253511</v>
      </c>
      <c r="AC26" s="1">
        <f t="shared" si="50"/>
        <v>1031048.24</v>
      </c>
      <c r="AD26" s="1">
        <f t="shared" si="50"/>
        <v>162825.53</v>
      </c>
      <c r="AE26" s="1">
        <f t="shared" si="50"/>
        <v>1168167.9272000005</v>
      </c>
      <c r="AF26" s="1">
        <f t="shared" si="50"/>
        <v>3026298</v>
      </c>
      <c r="AG26" s="1">
        <f t="shared" si="50"/>
        <v>1464703.82085</v>
      </c>
      <c r="AH26" s="1">
        <f t="shared" si="50"/>
        <v>271890.65000000002</v>
      </c>
      <c r="AI26" s="1">
        <f t="shared" si="50"/>
        <v>761037</v>
      </c>
    </row>
    <row r="27" spans="1:35">
      <c r="A27" s="108" t="s">
        <v>72</v>
      </c>
      <c r="B27" s="108">
        <f t="shared" ref="B27:M27" si="51">SUM(B3,B5,B8)</f>
        <v>5464319.5599999996</v>
      </c>
      <c r="C27" s="108">
        <f t="shared" si="51"/>
        <v>17481639</v>
      </c>
      <c r="D27" s="108">
        <f t="shared" si="51"/>
        <v>31465136.149999999</v>
      </c>
      <c r="E27" s="108">
        <f t="shared" si="51"/>
        <v>5493787.1999999993</v>
      </c>
      <c r="F27" s="108">
        <f t="shared" ref="F27" si="52">SUM(F3,F5,F8)</f>
        <v>98063610</v>
      </c>
      <c r="G27" s="1">
        <f t="shared" ref="G27:I27" si="53">SUM(G3,G5,G8)</f>
        <v>70403815</v>
      </c>
      <c r="H27" s="1">
        <f t="shared" si="53"/>
        <v>7251343</v>
      </c>
      <c r="I27" s="1">
        <f t="shared" si="53"/>
        <v>11378083</v>
      </c>
      <c r="J27" s="1">
        <f t="shared" ref="J27:L27" si="54">SUM(J3,J5,J8)</f>
        <v>4099809</v>
      </c>
      <c r="K27" s="1">
        <f t="shared" si="54"/>
        <v>4098772</v>
      </c>
      <c r="L27" s="1">
        <f t="shared" si="54"/>
        <v>831788</v>
      </c>
      <c r="M27" s="108">
        <f t="shared" si="51"/>
        <v>9321204</v>
      </c>
      <c r="N27" s="108">
        <f t="shared" ref="N27:R27" si="55">SUM(N3,N5,N8)</f>
        <v>324004999.23019588</v>
      </c>
      <c r="O27" s="1">
        <f t="shared" si="55"/>
        <v>59192683</v>
      </c>
      <c r="P27" s="1">
        <f t="shared" si="55"/>
        <v>190719685.70439997</v>
      </c>
      <c r="Q27" s="1">
        <f t="shared" si="55"/>
        <v>41044289.688696213</v>
      </c>
      <c r="R27" s="1">
        <f t="shared" si="55"/>
        <v>33048340.837099675</v>
      </c>
      <c r="S27" s="108">
        <f>SUM(S3,S5,S8)</f>
        <v>35295658</v>
      </c>
      <c r="T27" s="108">
        <f>SUM(T3,T5,T8)</f>
        <v>19648336</v>
      </c>
      <c r="U27" s="108">
        <f>SUM(U3,U5,U8)</f>
        <v>92010438.213905871</v>
      </c>
      <c r="V27" s="1">
        <f t="shared" ref="V27" si="56">SUM(V3,V5,V8)</f>
        <v>10588741.870000001</v>
      </c>
      <c r="W27" s="1">
        <f t="shared" ref="W27:AI27" si="57">SUM(W3,W5,W8)</f>
        <v>6742284.25</v>
      </c>
      <c r="X27" s="1">
        <f t="shared" si="57"/>
        <v>9196018.6999999993</v>
      </c>
      <c r="Y27" s="1">
        <f t="shared" si="57"/>
        <v>1973693</v>
      </c>
      <c r="Z27" s="1">
        <f t="shared" si="57"/>
        <v>17704427</v>
      </c>
      <c r="AA27" s="1">
        <f t="shared" si="57"/>
        <v>1794665.76</v>
      </c>
      <c r="AB27" s="1">
        <f t="shared" si="57"/>
        <v>2827109</v>
      </c>
      <c r="AC27" s="1">
        <f t="shared" si="57"/>
        <v>2416901.38</v>
      </c>
      <c r="AD27" s="1">
        <f t="shared" si="57"/>
        <v>2882575.4400000004</v>
      </c>
      <c r="AE27" s="1">
        <f t="shared" si="57"/>
        <v>5803445.7800000058</v>
      </c>
      <c r="AF27" s="1">
        <f t="shared" si="57"/>
        <v>13185820.383905847</v>
      </c>
      <c r="AG27" s="1">
        <f t="shared" si="57"/>
        <v>6793511.0700000003</v>
      </c>
      <c r="AH27" s="1">
        <f t="shared" si="57"/>
        <v>3042907.58</v>
      </c>
      <c r="AI27" s="1">
        <f t="shared" si="57"/>
        <v>7058337</v>
      </c>
    </row>
    <row r="28" spans="1:35">
      <c r="A28" s="108" t="s">
        <v>73</v>
      </c>
      <c r="B28" s="109">
        <f t="shared" ref="B28:M28" si="58">B26/B25</f>
        <v>0.22881392635888223</v>
      </c>
      <c r="C28" s="109">
        <f t="shared" si="58"/>
        <v>0.11149002519970413</v>
      </c>
      <c r="D28" s="109">
        <f t="shared" si="58"/>
        <v>3.7472316206898816E-2</v>
      </c>
      <c r="E28" s="109">
        <f t="shared" si="58"/>
        <v>0.1248008213490536</v>
      </c>
      <c r="F28" s="109">
        <f t="shared" ref="F28" si="59">F26/F25</f>
        <v>0.20447494358680818</v>
      </c>
      <c r="G28" s="5">
        <f t="shared" ref="G28:I28" si="60">G26/G25</f>
        <v>0.17325198213546014</v>
      </c>
      <c r="H28" s="5">
        <f t="shared" si="60"/>
        <v>0.16007704084037899</v>
      </c>
      <c r="I28" s="5">
        <f t="shared" si="60"/>
        <v>0.41852410863840578</v>
      </c>
      <c r="J28" s="5">
        <f t="shared" ref="J28:L28" si="61">J26/J25</f>
        <v>7.9857707953429655E-2</v>
      </c>
      <c r="K28" s="5">
        <f t="shared" si="61"/>
        <v>4.7461992223566764E-2</v>
      </c>
      <c r="L28" s="5">
        <f t="shared" si="61"/>
        <v>0.27793297301801984</v>
      </c>
      <c r="M28" s="109">
        <f t="shared" si="58"/>
        <v>0.10005566962174588</v>
      </c>
      <c r="N28" s="109">
        <f t="shared" ref="N28:R28" si="62">N26/N25</f>
        <v>8.4029170961681984E-2</v>
      </c>
      <c r="O28" s="5">
        <f t="shared" si="62"/>
        <v>0.11052131952501437</v>
      </c>
      <c r="P28" s="5">
        <f t="shared" si="62"/>
        <v>7.6406071481498278E-2</v>
      </c>
      <c r="Q28" s="5">
        <f t="shared" si="62"/>
        <v>6.9421838175565492E-2</v>
      </c>
      <c r="R28" s="5">
        <f t="shared" si="62"/>
        <v>9.6480453642081992E-2</v>
      </c>
      <c r="S28" s="109">
        <f>S26/S25</f>
        <v>0.12014223242041057</v>
      </c>
      <c r="T28" s="109">
        <f>T26/T25</f>
        <v>0.14893912666829096</v>
      </c>
      <c r="U28" s="109">
        <f>U26/U25</f>
        <v>0.13798326444328721</v>
      </c>
      <c r="V28" s="5">
        <f t="shared" ref="V28" si="63">V26/V25</f>
        <v>0.14559250666442392</v>
      </c>
      <c r="W28" s="5">
        <f t="shared" ref="W28:AI28" si="64">W26/W25</f>
        <v>0.11803846036800948</v>
      </c>
      <c r="X28" s="5">
        <f t="shared" si="64"/>
        <v>3.8454648692800991E-2</v>
      </c>
      <c r="Y28" s="5">
        <f t="shared" si="64"/>
        <v>7.4492873096237228E-2</v>
      </c>
      <c r="Z28" s="5">
        <f t="shared" si="64"/>
        <v>0.15005547021696539</v>
      </c>
      <c r="AA28" s="5">
        <f t="shared" si="64"/>
        <v>0.11344597241767984</v>
      </c>
      <c r="AB28" s="5">
        <f t="shared" si="64"/>
        <v>8.2292200920593903E-2</v>
      </c>
      <c r="AC28" s="5">
        <f t="shared" si="64"/>
        <v>0.29903228110392166</v>
      </c>
      <c r="AD28" s="5">
        <f t="shared" si="64"/>
        <v>5.3466039974368294E-2</v>
      </c>
      <c r="AE28" s="5">
        <f t="shared" si="64"/>
        <v>0.16756062172428787</v>
      </c>
      <c r="AF28" s="5">
        <f t="shared" si="64"/>
        <v>0.18666888116264174</v>
      </c>
      <c r="AG28" s="5">
        <f t="shared" si="64"/>
        <v>0.17736324862082165</v>
      </c>
      <c r="AH28" s="5">
        <f t="shared" si="64"/>
        <v>8.2023288035845243E-2</v>
      </c>
      <c r="AI28" s="5">
        <f t="shared" si="64"/>
        <v>9.7327100609332667E-2</v>
      </c>
    </row>
    <row r="29" spans="1:35">
      <c r="A29" s="108" t="s">
        <v>74</v>
      </c>
      <c r="B29" s="109">
        <f t="shared" ref="B29:M29" si="65">B27/B25</f>
        <v>0.7711860736411178</v>
      </c>
      <c r="C29" s="109">
        <f t="shared" si="65"/>
        <v>0.88850997480029581</v>
      </c>
      <c r="D29" s="109">
        <f t="shared" si="65"/>
        <v>0.96252768379310116</v>
      </c>
      <c r="E29" s="109">
        <f t="shared" si="65"/>
        <v>0.87519917865094632</v>
      </c>
      <c r="F29" s="109">
        <f t="shared" ref="F29" si="66">F27/F25</f>
        <v>0.79552505641319182</v>
      </c>
      <c r="G29" s="5">
        <f t="shared" ref="G29:I29" si="67">G27/G25</f>
        <v>0.82674801786453989</v>
      </c>
      <c r="H29" s="5">
        <f t="shared" si="67"/>
        <v>0.83992295915962101</v>
      </c>
      <c r="I29" s="5">
        <f t="shared" si="67"/>
        <v>0.58147589136159417</v>
      </c>
      <c r="J29" s="5">
        <f t="shared" ref="J29:L29" si="68">J27/J25</f>
        <v>0.92014229204657039</v>
      </c>
      <c r="K29" s="5">
        <f t="shared" si="68"/>
        <v>0.95253800777643327</v>
      </c>
      <c r="L29" s="5">
        <f t="shared" si="68"/>
        <v>0.72206702698198022</v>
      </c>
      <c r="M29" s="109">
        <f t="shared" si="65"/>
        <v>0.89994433037825416</v>
      </c>
      <c r="N29" s="109">
        <f t="shared" ref="N29:R29" si="69">N27/N25</f>
        <v>0.91597082903831817</v>
      </c>
      <c r="O29" s="5">
        <f t="shared" si="69"/>
        <v>0.88947868047498568</v>
      </c>
      <c r="P29" s="5">
        <f t="shared" si="69"/>
        <v>0.92359392851850175</v>
      </c>
      <c r="Q29" s="5">
        <f t="shared" si="69"/>
        <v>0.93057816182443454</v>
      </c>
      <c r="R29" s="5">
        <f t="shared" si="69"/>
        <v>0.90351954635791809</v>
      </c>
      <c r="S29" s="109">
        <f>S27/S25</f>
        <v>0.87985776757958944</v>
      </c>
      <c r="T29" s="109">
        <f>T27/T25</f>
        <v>0.85106087333170899</v>
      </c>
      <c r="U29" s="109">
        <f>U27/U25</f>
        <v>0.86201673555671288</v>
      </c>
      <c r="V29" s="5">
        <f t="shared" ref="V29" si="70">V27/V25</f>
        <v>0.8544074933355762</v>
      </c>
      <c r="W29" s="5">
        <f t="shared" ref="W29:AI29" si="71">W27/W25</f>
        <v>0.88196153963199042</v>
      </c>
      <c r="X29" s="5">
        <f t="shared" si="71"/>
        <v>0.96154535130719898</v>
      </c>
      <c r="Y29" s="5">
        <f t="shared" si="71"/>
        <v>0.9255071269037628</v>
      </c>
      <c r="Z29" s="5">
        <f t="shared" si="71"/>
        <v>0.84994452978303459</v>
      </c>
      <c r="AA29" s="5">
        <f t="shared" si="71"/>
        <v>0.88655402758232016</v>
      </c>
      <c r="AB29" s="5">
        <f t="shared" si="71"/>
        <v>0.91770779907940614</v>
      </c>
      <c r="AC29" s="5">
        <f t="shared" si="71"/>
        <v>0.70096771889607823</v>
      </c>
      <c r="AD29" s="5">
        <f t="shared" si="71"/>
        <v>0.94653396002563173</v>
      </c>
      <c r="AE29" s="5">
        <f t="shared" si="71"/>
        <v>0.83243937827571213</v>
      </c>
      <c r="AF29" s="5">
        <f t="shared" si="71"/>
        <v>0.8133311188373582</v>
      </c>
      <c r="AG29" s="5">
        <f t="shared" si="71"/>
        <v>0.82263675137917835</v>
      </c>
      <c r="AH29" s="5">
        <f t="shared" si="71"/>
        <v>0.91797671196415465</v>
      </c>
      <c r="AI29" s="5">
        <f t="shared" si="71"/>
        <v>0.9026728993906673</v>
      </c>
    </row>
    <row r="30" spans="1:35">
      <c r="A30" s="108"/>
    </row>
    <row r="31" spans="1:35">
      <c r="A31" s="108" t="s">
        <v>114</v>
      </c>
      <c r="B31" s="108">
        <v>36482394.660000004</v>
      </c>
      <c r="C31" s="108">
        <v>95497615</v>
      </c>
      <c r="D31" s="108">
        <v>202531052.12</v>
      </c>
      <c r="E31" s="108">
        <v>29760494.340000004</v>
      </c>
      <c r="F31" s="108">
        <f>SUM(G31:L31)</f>
        <v>782116113</v>
      </c>
      <c r="G31" s="1">
        <v>551271315</v>
      </c>
      <c r="H31" s="1">
        <v>54329102</v>
      </c>
      <c r="I31" s="1">
        <v>114242123</v>
      </c>
      <c r="J31" s="1">
        <v>28882215</v>
      </c>
      <c r="K31" s="1">
        <v>26102407</v>
      </c>
      <c r="L31" s="1">
        <v>7288951</v>
      </c>
      <c r="M31" s="1">
        <v>52975006</v>
      </c>
      <c r="N31" s="108">
        <f t="shared" ref="N31:N32" si="72">SUM(O31:R31)</f>
        <v>1633530896.3505926</v>
      </c>
      <c r="O31" s="1">
        <v>340493153</v>
      </c>
      <c r="P31" s="1">
        <v>908297908.35974979</v>
      </c>
      <c r="Q31" s="1">
        <v>226034016.99084294</v>
      </c>
      <c r="R31" s="1">
        <v>158705818</v>
      </c>
      <c r="S31" s="108">
        <v>211889675</v>
      </c>
      <c r="T31" s="108">
        <v>132726582</v>
      </c>
      <c r="U31" s="111">
        <f t="shared" ref="U31:U32" si="73">SUM(V31:AI31)</f>
        <v>597526786.22200584</v>
      </c>
      <c r="V31" s="1">
        <v>69100217.282599986</v>
      </c>
      <c r="W31" s="1">
        <v>47947743.189999998</v>
      </c>
      <c r="X31" s="1">
        <v>52750691.960000001</v>
      </c>
      <c r="Y31" s="1">
        <v>14446906</v>
      </c>
      <c r="Z31" s="1">
        <v>114351064</v>
      </c>
      <c r="AA31" s="1">
        <v>8339741.8399999999</v>
      </c>
      <c r="AB31" s="1">
        <v>14563652</v>
      </c>
      <c r="AC31" s="1">
        <v>15481749.489999998</v>
      </c>
      <c r="AD31" s="1">
        <v>12400516.940000001</v>
      </c>
      <c r="AE31" s="1">
        <v>37403058.765500002</v>
      </c>
      <c r="AF31" s="1">
        <v>90250899.516905844</v>
      </c>
      <c r="AG31" s="1">
        <v>49273919.237000003</v>
      </c>
      <c r="AH31" s="1">
        <v>14954383.999999998</v>
      </c>
      <c r="AI31" s="1">
        <v>56262242</v>
      </c>
    </row>
    <row r="32" spans="1:35">
      <c r="A32" s="108" t="s">
        <v>115</v>
      </c>
      <c r="B32" s="108">
        <v>1921456</v>
      </c>
      <c r="C32" s="108">
        <v>14618976</v>
      </c>
      <c r="D32" s="108">
        <v>9180374</v>
      </c>
      <c r="E32" s="108">
        <v>5806089</v>
      </c>
      <c r="F32" s="108">
        <f>SUM(G32:L32)</f>
        <v>60037765</v>
      </c>
      <c r="G32" s="1">
        <v>55270754</v>
      </c>
      <c r="H32" s="1">
        <v>4767011</v>
      </c>
      <c r="I32" s="1">
        <v>0</v>
      </c>
      <c r="J32" s="1">
        <v>0</v>
      </c>
      <c r="K32" s="1">
        <v>0</v>
      </c>
      <c r="L32" s="1">
        <v>0</v>
      </c>
      <c r="M32" s="1">
        <v>8260909</v>
      </c>
      <c r="N32" s="108">
        <f t="shared" si="72"/>
        <v>135302975</v>
      </c>
      <c r="O32" s="1">
        <v>2853813</v>
      </c>
      <c r="P32" s="1">
        <v>102756037</v>
      </c>
      <c r="Q32" s="1">
        <v>14671745</v>
      </c>
      <c r="R32" s="1">
        <v>15021380</v>
      </c>
      <c r="S32" s="108">
        <v>40471795</v>
      </c>
      <c r="T32" s="108">
        <v>19179749</v>
      </c>
      <c r="U32" s="111">
        <f t="shared" si="73"/>
        <v>10118703.989</v>
      </c>
      <c r="V32" s="1">
        <v>607600</v>
      </c>
      <c r="W32" s="1">
        <v>272830</v>
      </c>
      <c r="X32" s="1">
        <v>516516</v>
      </c>
      <c r="Y32" s="1">
        <v>645000</v>
      </c>
      <c r="Z32" s="1">
        <v>1424450</v>
      </c>
      <c r="AA32" s="1">
        <v>1000350</v>
      </c>
      <c r="AB32" s="1">
        <v>472356</v>
      </c>
      <c r="AC32" s="1">
        <v>1054850</v>
      </c>
      <c r="AD32" s="1">
        <v>1514026.23</v>
      </c>
      <c r="AE32" s="1">
        <v>260440.95900000003</v>
      </c>
      <c r="AF32" s="1">
        <v>325000</v>
      </c>
      <c r="AG32" s="1">
        <v>528922.80000000005</v>
      </c>
      <c r="AH32" s="1">
        <v>1496362</v>
      </c>
      <c r="AI32" s="1">
        <v>0</v>
      </c>
    </row>
    <row r="33" spans="1:35">
      <c r="A33" s="113" t="s">
        <v>116</v>
      </c>
      <c r="B33" s="108">
        <f>SUM(B31:B32)</f>
        <v>38403850.660000004</v>
      </c>
      <c r="C33" s="108">
        <f t="shared" ref="C33:AI33" si="74">SUM(C31:C32)</f>
        <v>110116591</v>
      </c>
      <c r="D33" s="108">
        <f t="shared" si="74"/>
        <v>211711426.12</v>
      </c>
      <c r="E33" s="108">
        <f t="shared" si="74"/>
        <v>35566583.340000004</v>
      </c>
      <c r="F33" s="108">
        <f>SUM(F31:F32)</f>
        <v>842153878</v>
      </c>
      <c r="G33" s="1">
        <f t="shared" si="74"/>
        <v>606542069</v>
      </c>
      <c r="H33" s="1">
        <f t="shared" si="74"/>
        <v>59096113</v>
      </c>
      <c r="I33" s="1">
        <f t="shared" si="74"/>
        <v>114242123</v>
      </c>
      <c r="J33" s="1">
        <f t="shared" si="74"/>
        <v>28882215</v>
      </c>
      <c r="K33" s="1">
        <f t="shared" si="74"/>
        <v>26102407</v>
      </c>
      <c r="L33" s="1">
        <f t="shared" si="74"/>
        <v>7288951</v>
      </c>
      <c r="M33" s="1">
        <f t="shared" si="74"/>
        <v>61235915</v>
      </c>
      <c r="N33" s="108">
        <f t="shared" si="74"/>
        <v>1768833871.3505926</v>
      </c>
      <c r="O33" s="1">
        <f t="shared" si="74"/>
        <v>343346966</v>
      </c>
      <c r="P33" s="1">
        <f t="shared" si="74"/>
        <v>1011053945.3597498</v>
      </c>
      <c r="Q33" s="1">
        <f t="shared" si="74"/>
        <v>240705761.99084294</v>
      </c>
      <c r="R33" s="1">
        <f t="shared" si="74"/>
        <v>173727198</v>
      </c>
      <c r="S33" s="108">
        <f t="shared" si="74"/>
        <v>252361470</v>
      </c>
      <c r="T33" s="108">
        <f t="shared" si="74"/>
        <v>151906331</v>
      </c>
      <c r="U33" s="108">
        <f t="shared" si="74"/>
        <v>607645490.21100581</v>
      </c>
      <c r="V33" s="1">
        <f t="shared" si="74"/>
        <v>69707817.282599986</v>
      </c>
      <c r="W33" s="1">
        <f t="shared" si="74"/>
        <v>48220573.189999998</v>
      </c>
      <c r="X33" s="1">
        <f t="shared" si="74"/>
        <v>53267207.960000001</v>
      </c>
      <c r="Y33" s="1">
        <f t="shared" si="74"/>
        <v>15091906</v>
      </c>
      <c r="Z33" s="1">
        <f t="shared" si="74"/>
        <v>115775514</v>
      </c>
      <c r="AA33" s="1">
        <f t="shared" si="74"/>
        <v>9340091.8399999999</v>
      </c>
      <c r="AB33" s="1">
        <f t="shared" si="74"/>
        <v>15036008</v>
      </c>
      <c r="AC33" s="1">
        <f t="shared" si="74"/>
        <v>16536599.489999998</v>
      </c>
      <c r="AD33" s="1">
        <f t="shared" si="74"/>
        <v>13914543.170000002</v>
      </c>
      <c r="AE33" s="1">
        <f t="shared" si="74"/>
        <v>37663499.7245</v>
      </c>
      <c r="AF33" s="1">
        <f t="shared" si="74"/>
        <v>90575899.516905844</v>
      </c>
      <c r="AG33" s="1">
        <f t="shared" si="74"/>
        <v>49802842.037</v>
      </c>
      <c r="AH33" s="1">
        <f t="shared" si="74"/>
        <v>16450745.999999998</v>
      </c>
      <c r="AI33" s="1">
        <f t="shared" si="74"/>
        <v>56262242</v>
      </c>
    </row>
    <row r="36" spans="1:35">
      <c r="A36" s="1" t="s">
        <v>119</v>
      </c>
    </row>
    <row r="37" spans="1:35">
      <c r="A37" s="1" t="s">
        <v>120</v>
      </c>
    </row>
    <row r="38" spans="1:35">
      <c r="A38" s="1" t="s">
        <v>121</v>
      </c>
    </row>
    <row r="39" spans="1:35">
      <c r="A39" s="1" t="s">
        <v>84</v>
      </c>
    </row>
  </sheetData>
  <pageMargins left="0.7" right="0.7" top="0.75" bottom="0.75" header="0.3" footer="0.3"/>
  <ignoredErrors>
    <ignoredError sqref="N2:N9 N11:N18 F4:F18 F3 F31:F32 N31:N32" formulaRange="1"/>
    <ignoredError sqref="U2:U18 U31:U3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b69d78-ac0b-4131-8726-c6d578fa276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A573D9BF1F9458A0C0027370B3906" ma:contentTypeVersion="17" ma:contentTypeDescription="Create a new document." ma:contentTypeScope="" ma:versionID="8e81f3a88b1fa403f4a0df911358585b">
  <xsd:schema xmlns:xsd="http://www.w3.org/2001/XMLSchema" xmlns:xs="http://www.w3.org/2001/XMLSchema" xmlns:p="http://schemas.microsoft.com/office/2006/metadata/properties" xmlns:ns3="b454c682-3c0f-43b2-86f2-f8a837a8b8af" xmlns:ns4="6fb69d78-ac0b-4131-8726-c6d578fa2761" targetNamespace="http://schemas.microsoft.com/office/2006/metadata/properties" ma:root="true" ma:fieldsID="6a2bbf00402add8c8654af7a07cd5ce8" ns3:_="" ns4:_="">
    <xsd:import namespace="b454c682-3c0f-43b2-86f2-f8a837a8b8af"/>
    <xsd:import namespace="6fb69d78-ac0b-4131-8726-c6d578fa27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  <xsd:element ref="ns4:MediaServiceSystem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4c682-3c0f-43b2-86f2-f8a837a8b8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69d78-ac0b-4131-8726-c6d578fa27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66E27-4521-4248-8508-98597CCCFBF6}">
  <ds:schemaRefs>
    <ds:schemaRef ds:uri="http://schemas.microsoft.com/office/2006/metadata/properties"/>
    <ds:schemaRef ds:uri="6fb69d78-ac0b-4131-8726-c6d578fa2761"/>
    <ds:schemaRef ds:uri="b454c682-3c0f-43b2-86f2-f8a837a8b8af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F3849D-9EF8-4312-9844-394C41CFA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54c682-3c0f-43b2-86f2-f8a837a8b8af"/>
    <ds:schemaRef ds:uri="6fb69d78-ac0b-4131-8726-c6d578fa2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A98D68-3BAA-462E-ADB8-59C4581B9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Operational Increases</vt:lpstr>
      <vt:lpstr>Supporting Data</vt:lpstr>
      <vt:lpstr>Salary + Benefits Data</vt:lpstr>
      <vt:lpstr>'Operational Increases'!Print_Area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Schrock</dc:creator>
  <cp:lastModifiedBy>Crystal Collins</cp:lastModifiedBy>
  <dcterms:created xsi:type="dcterms:W3CDTF">2021-07-15T01:08:58Z</dcterms:created>
  <dcterms:modified xsi:type="dcterms:W3CDTF">2024-11-19T16:41:51Z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0x010100E61A573D9BF1F9458A0C0027370B3906</vt:lpwstr>
  </property>
</Properties>
</file>